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5.1.6_BASES DE DADOS E ESTATÍSTICAS DO MERCADO\ESTATÍSTICAS PARA PUBLICAÇÃO\2026\Republicados\"/>
    </mc:Choice>
  </mc:AlternateContent>
  <xr:revisionPtr revIDLastSave="0" documentId="13_ncr:1_{3D819105-20B5-4985-9CAB-AA35C1F50963}" xr6:coauthVersionLast="47" xr6:coauthVersionMax="47" xr10:uidLastSave="{00000000-0000-0000-0000-000000000000}"/>
  <bookViews>
    <workbookView xWindow="-120" yWindow="-120" windowWidth="38640" windowHeight="15840" tabRatio="599" xr2:uid="{00000000-000D-0000-FFFF-FFFF00000000}"/>
  </bookViews>
  <sheets>
    <sheet name="Capa" sheetId="12" r:id="rId1"/>
    <sheet name="A.1" sheetId="1" r:id="rId2"/>
    <sheet name="A.2" sheetId="5" r:id="rId3"/>
    <sheet name="A.3" sheetId="2" r:id="rId4"/>
    <sheet name="B.1" sheetId="3" r:id="rId5"/>
    <sheet name="C.1" sheetId="4" r:id="rId6"/>
    <sheet name="C.2" sheetId="6" r:id="rId7"/>
    <sheet name="C.3" sheetId="10" r:id="rId8"/>
    <sheet name="C.4" sheetId="7" r:id="rId9"/>
    <sheet name="D.1" sheetId="8" r:id="rId10"/>
    <sheet name="E.1" sheetId="9" r:id="rId11"/>
    <sheet name="NOTAS DE FORMATAÇÃO" sheetId="13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8" l="1"/>
  <c r="D24" i="8" s="1"/>
  <c r="E25" i="9" l="1"/>
  <c r="E13" i="9"/>
  <c r="J7" i="9" l="1"/>
  <c r="K7" i="9"/>
  <c r="L7" i="9"/>
  <c r="M7" i="9"/>
  <c r="N7" i="9"/>
  <c r="O7" i="9"/>
  <c r="P7" i="9"/>
  <c r="Q7" i="9"/>
  <c r="R7" i="9"/>
  <c r="O18" i="2" l="1"/>
  <c r="P18" i="2"/>
  <c r="P25" i="8" l="1"/>
  <c r="N20" i="7" l="1"/>
  <c r="N61" i="7"/>
  <c r="N20" i="3"/>
  <c r="D20" i="7" l="1"/>
  <c r="R26" i="9" l="1"/>
  <c r="R8" i="5" l="1"/>
  <c r="D7" i="9" l="1"/>
  <c r="E7" i="9"/>
  <c r="Q29" i="8" l="1"/>
  <c r="R29" i="8"/>
  <c r="Q25" i="8"/>
  <c r="R25" i="8"/>
  <c r="R24" i="8" l="1"/>
  <c r="Q24" i="8"/>
  <c r="R23" i="8" l="1"/>
  <c r="Q31" i="9"/>
  <c r="R31" i="9"/>
  <c r="Q13" i="9"/>
  <c r="R13" i="9"/>
  <c r="Q19" i="9"/>
  <c r="R19" i="9"/>
  <c r="R25" i="9"/>
  <c r="Q26" i="9"/>
  <c r="Q25" i="9" s="1"/>
  <c r="R40" i="7" l="1"/>
  <c r="R30" i="7"/>
  <c r="Q50" i="7"/>
  <c r="Q20" i="7"/>
  <c r="Q12" i="8" l="1"/>
  <c r="R12" i="8"/>
  <c r="Q8" i="8"/>
  <c r="R8" i="8"/>
  <c r="Q61" i="7"/>
  <c r="R61" i="7"/>
  <c r="R50" i="7"/>
  <c r="Q40" i="7"/>
  <c r="Q30" i="7"/>
  <c r="R20" i="7"/>
  <c r="Q8" i="7"/>
  <c r="Q7" i="7" s="1"/>
  <c r="R8" i="7"/>
  <c r="R7" i="7" s="1"/>
  <c r="R7" i="8" l="1"/>
  <c r="Q7" i="8"/>
  <c r="R19" i="7"/>
  <c r="Q19" i="7"/>
  <c r="R13" i="4"/>
  <c r="Q13" i="4" l="1"/>
  <c r="Q9" i="4"/>
  <c r="R9" i="4"/>
  <c r="R8" i="4" s="1"/>
  <c r="Q8" i="4" l="1"/>
  <c r="R20" i="3" l="1"/>
  <c r="Q20" i="3"/>
  <c r="R13" i="3" l="1"/>
  <c r="Q13" i="3"/>
  <c r="Q18" i="2" l="1"/>
  <c r="R18" i="2"/>
  <c r="Q8" i="5" l="1"/>
  <c r="O8" i="1" l="1"/>
  <c r="P8" i="1"/>
  <c r="Q8" i="1"/>
  <c r="R8" i="1"/>
  <c r="P21" i="1"/>
  <c r="Q21" i="1"/>
  <c r="R21" i="1"/>
  <c r="Q19" i="10" l="1"/>
  <c r="R19" i="10"/>
  <c r="R8" i="10"/>
  <c r="Q8" i="10"/>
  <c r="Q25" i="4"/>
  <c r="Q7" i="4" s="1"/>
  <c r="R25" i="4"/>
  <c r="R7" i="4" s="1"/>
  <c r="R7" i="10" l="1"/>
  <c r="Q7" i="10"/>
  <c r="O19" i="10"/>
  <c r="P19" i="10"/>
  <c r="O8" i="7" l="1"/>
  <c r="O7" i="7" s="1"/>
  <c r="C50" i="7"/>
  <c r="P8" i="10"/>
  <c r="O8" i="10"/>
  <c r="O7" i="10" s="1"/>
  <c r="N8" i="10"/>
  <c r="D8" i="10"/>
  <c r="E8" i="10"/>
  <c r="F8" i="10"/>
  <c r="G8" i="10"/>
  <c r="H8" i="10"/>
  <c r="I8" i="10"/>
  <c r="J8" i="10"/>
  <c r="K8" i="10"/>
  <c r="L8" i="10"/>
  <c r="M8" i="10"/>
  <c r="C8" i="10"/>
  <c r="E13" i="4" l="1"/>
  <c r="C13" i="4"/>
  <c r="D13" i="4"/>
  <c r="D9" i="4"/>
  <c r="E9" i="4"/>
  <c r="D8" i="4"/>
  <c r="D7" i="4" s="1"/>
  <c r="E7" i="10"/>
  <c r="D19" i="10"/>
  <c r="D7" i="10" s="1"/>
  <c r="E50" i="7"/>
  <c r="E61" i="7"/>
  <c r="E40" i="7"/>
  <c r="E30" i="7"/>
  <c r="C20" i="7"/>
  <c r="E20" i="7"/>
  <c r="F20" i="7"/>
  <c r="G20" i="7"/>
  <c r="H20" i="7"/>
  <c r="I20" i="7"/>
  <c r="J20" i="7"/>
  <c r="K20" i="7"/>
  <c r="L20" i="7"/>
  <c r="M20" i="7"/>
  <c r="O20" i="7"/>
  <c r="P20" i="7"/>
  <c r="C8" i="7"/>
  <c r="D8" i="7"/>
  <c r="E8" i="7"/>
  <c r="F8" i="7"/>
  <c r="G8" i="7"/>
  <c r="H8" i="7"/>
  <c r="I8" i="7"/>
  <c r="J8" i="7"/>
  <c r="K8" i="7"/>
  <c r="L8" i="7"/>
  <c r="M8" i="7"/>
  <c r="N8" i="7"/>
  <c r="P8" i="7"/>
  <c r="E8" i="4" l="1"/>
  <c r="E7" i="4" s="1"/>
  <c r="D61" i="7"/>
  <c r="D50" i="7"/>
  <c r="D40" i="7"/>
  <c r="D30" i="7"/>
  <c r="C30" i="7"/>
  <c r="F30" i="7"/>
  <c r="G30" i="7"/>
  <c r="H30" i="7"/>
  <c r="I30" i="7"/>
  <c r="J30" i="7"/>
  <c r="K30" i="7"/>
  <c r="L30" i="7"/>
  <c r="M30" i="7"/>
  <c r="N30" i="7"/>
  <c r="O30" i="7"/>
  <c r="P30" i="7"/>
  <c r="C40" i="7"/>
  <c r="F40" i="7"/>
  <c r="G40" i="7"/>
  <c r="H40" i="7"/>
  <c r="I40" i="7"/>
  <c r="J40" i="7"/>
  <c r="K40" i="7"/>
  <c r="L40" i="7"/>
  <c r="M40" i="7"/>
  <c r="N40" i="7"/>
  <c r="O40" i="7"/>
  <c r="P40" i="7"/>
  <c r="F50" i="7"/>
  <c r="G50" i="7"/>
  <c r="H50" i="7"/>
  <c r="I50" i="7"/>
  <c r="J50" i="7"/>
  <c r="K50" i="7"/>
  <c r="L50" i="7"/>
  <c r="M50" i="7"/>
  <c r="N50" i="7"/>
  <c r="O50" i="7"/>
  <c r="P50" i="7"/>
  <c r="C61" i="7"/>
  <c r="F61" i="7"/>
  <c r="G61" i="7"/>
  <c r="H61" i="7"/>
  <c r="I61" i="7"/>
  <c r="J61" i="7"/>
  <c r="K61" i="7"/>
  <c r="L61" i="7"/>
  <c r="M61" i="7"/>
  <c r="O61" i="7"/>
  <c r="P61" i="7"/>
  <c r="P13" i="9" l="1"/>
  <c r="P19" i="9"/>
  <c r="P31" i="9"/>
  <c r="P26" i="9" l="1"/>
  <c r="P25" i="9" s="1"/>
  <c r="P29" i="8" l="1"/>
  <c r="P24" i="8" s="1"/>
  <c r="P12" i="8"/>
  <c r="P8" i="8"/>
  <c r="P19" i="7"/>
  <c r="P7" i="7"/>
  <c r="P7" i="10"/>
  <c r="P13" i="4"/>
  <c r="P25" i="4"/>
  <c r="P9" i="4"/>
  <c r="N18" i="2"/>
  <c r="O20" i="3"/>
  <c r="P20" i="3"/>
  <c r="P13" i="3"/>
  <c r="Q23" i="8" l="1"/>
  <c r="P8" i="4"/>
  <c r="P7" i="4" s="1"/>
  <c r="P7" i="8"/>
  <c r="P8" i="5" l="1"/>
  <c r="O26" i="9" l="1"/>
  <c r="O14" i="9" l="1"/>
  <c r="O25" i="9" l="1"/>
  <c r="O31" i="9"/>
  <c r="O19" i="9"/>
  <c r="O13" i="9"/>
  <c r="O29" i="8"/>
  <c r="O25" i="8"/>
  <c r="O24" i="8" l="1"/>
  <c r="P23" i="8" s="1"/>
  <c r="O19" i="8"/>
  <c r="O8" i="8"/>
  <c r="O12" i="8"/>
  <c r="O19" i="7" l="1"/>
  <c r="O7" i="8"/>
  <c r="O25" i="4" l="1"/>
  <c r="O13" i="4"/>
  <c r="O9" i="4"/>
  <c r="O8" i="4" l="1"/>
  <c r="O7" i="4" s="1"/>
  <c r="L20" i="3"/>
  <c r="O13" i="3"/>
  <c r="O8" i="5" l="1"/>
  <c r="O25" i="1" l="1"/>
  <c r="O21" i="1"/>
  <c r="N26" i="9" l="1"/>
  <c r="N31" i="9" l="1"/>
  <c r="N25" i="9"/>
  <c r="N19" i="9"/>
  <c r="N13" i="9"/>
  <c r="N25" i="8"/>
  <c r="N29" i="8"/>
  <c r="N24" i="8" l="1"/>
  <c r="O23" i="8" l="1"/>
  <c r="N8" i="5"/>
  <c r="N8" i="8" l="1"/>
  <c r="N12" i="8"/>
  <c r="N7" i="8" l="1"/>
  <c r="N7" i="7"/>
  <c r="J20" i="3"/>
  <c r="N13" i="3"/>
  <c r="N19" i="7" l="1"/>
  <c r="N14" i="4" l="1"/>
  <c r="N10" i="4"/>
  <c r="N11" i="4"/>
  <c r="N23" i="4"/>
  <c r="N25" i="4"/>
  <c r="N19" i="10"/>
  <c r="N7" i="10" s="1"/>
  <c r="N21" i="1"/>
  <c r="N8" i="1"/>
  <c r="N9" i="4" l="1"/>
  <c r="N13" i="4"/>
  <c r="I19" i="9"/>
  <c r="N8" i="4" l="1"/>
  <c r="N7" i="4" s="1"/>
  <c r="M26" i="9"/>
  <c r="M31" i="9" l="1"/>
  <c r="M25" i="9"/>
  <c r="M19" i="9"/>
  <c r="M14" i="9"/>
  <c r="M13" i="9" s="1"/>
  <c r="M29" i="8" l="1"/>
  <c r="M25" i="8"/>
  <c r="M8" i="8"/>
  <c r="M12" i="8"/>
  <c r="M7" i="8" l="1"/>
  <c r="M24" i="8"/>
  <c r="M7" i="7"/>
  <c r="K19" i="10"/>
  <c r="K7" i="10" s="1"/>
  <c r="L19" i="10"/>
  <c r="L7" i="10" s="1"/>
  <c r="M19" i="10"/>
  <c r="M7" i="10" s="1"/>
  <c r="M13" i="4"/>
  <c r="M9" i="4"/>
  <c r="N23" i="8" l="1"/>
  <c r="M19" i="7"/>
  <c r="M8" i="4"/>
  <c r="M25" i="4" l="1"/>
  <c r="M7" i="4" s="1"/>
  <c r="M13" i="3" l="1"/>
  <c r="M20" i="3" l="1"/>
  <c r="M18" i="2" l="1"/>
  <c r="M8" i="5" l="1"/>
  <c r="M21" i="1" l="1"/>
  <c r="M8" i="1"/>
  <c r="L31" i="9" l="1"/>
  <c r="L25" i="9"/>
  <c r="L19" i="9"/>
  <c r="L13" i="9"/>
  <c r="L29" i="8" l="1"/>
  <c r="L25" i="8"/>
  <c r="L12" i="8"/>
  <c r="L8" i="8"/>
  <c r="L7" i="7"/>
  <c r="L25" i="4"/>
  <c r="L13" i="4"/>
  <c r="L9" i="4"/>
  <c r="L24" i="8" l="1"/>
  <c r="L7" i="8"/>
  <c r="L19" i="7"/>
  <c r="L8" i="4"/>
  <c r="L7" i="4" s="1"/>
  <c r="L13" i="3"/>
  <c r="M23" i="8" l="1"/>
  <c r="L18" i="2"/>
  <c r="L8" i="5" l="1"/>
  <c r="L21" i="1" l="1"/>
  <c r="L8" i="1"/>
  <c r="K13" i="4" l="1"/>
  <c r="K31" i="9" l="1"/>
  <c r="K25" i="9"/>
  <c r="K19" i="9"/>
  <c r="K13" i="9"/>
  <c r="K29" i="8"/>
  <c r="K25" i="8"/>
  <c r="K12" i="8"/>
  <c r="K8" i="8"/>
  <c r="K7" i="7"/>
  <c r="K25" i="4"/>
  <c r="K9" i="4"/>
  <c r="K20" i="3"/>
  <c r="K13" i="3"/>
  <c r="K18" i="2"/>
  <c r="K8" i="5"/>
  <c r="K21" i="1"/>
  <c r="K8" i="1"/>
  <c r="K19" i="7" l="1"/>
  <c r="K24" i="8"/>
  <c r="L23" i="8" s="1"/>
  <c r="K7" i="8"/>
  <c r="K8" i="4"/>
  <c r="K7" i="4" s="1"/>
  <c r="J21" i="10"/>
  <c r="J23" i="10"/>
  <c r="J19" i="10" l="1"/>
  <c r="J7" i="10" s="1"/>
  <c r="J31" i="9" l="1"/>
  <c r="J25" i="9"/>
  <c r="J19" i="9"/>
  <c r="J13" i="9"/>
  <c r="J29" i="8"/>
  <c r="J25" i="8"/>
  <c r="J12" i="8"/>
  <c r="J8" i="8"/>
  <c r="J7" i="7"/>
  <c r="J25" i="4"/>
  <c r="J13" i="4"/>
  <c r="J9" i="4"/>
  <c r="J13" i="3"/>
  <c r="J18" i="2"/>
  <c r="J8" i="5"/>
  <c r="J21" i="1"/>
  <c r="J8" i="1"/>
  <c r="J7" i="8" l="1"/>
  <c r="J24" i="8"/>
  <c r="J8" i="4"/>
  <c r="J7" i="4" s="1"/>
  <c r="J19" i="7"/>
  <c r="I25" i="4"/>
  <c r="I13" i="4"/>
  <c r="I9" i="4"/>
  <c r="I20" i="3"/>
  <c r="I8" i="4" l="1"/>
  <c r="I7" i="4" s="1"/>
  <c r="I21" i="1" l="1"/>
  <c r="I8" i="1"/>
  <c r="I31" i="9" l="1"/>
  <c r="I25" i="9"/>
  <c r="I13" i="9"/>
  <c r="I7" i="9"/>
  <c r="I29" i="8"/>
  <c r="I25" i="8"/>
  <c r="I12" i="8"/>
  <c r="I8" i="8"/>
  <c r="I7" i="7"/>
  <c r="I13" i="3"/>
  <c r="I18" i="2"/>
  <c r="I8" i="5"/>
  <c r="I19" i="7" l="1"/>
  <c r="I7" i="8"/>
  <c r="I24" i="8"/>
  <c r="F18" i="2"/>
  <c r="G18" i="2"/>
  <c r="H18" i="2"/>
  <c r="H7" i="9" l="1"/>
  <c r="H31" i="9"/>
  <c r="H25" i="9"/>
  <c r="H19" i="9"/>
  <c r="H13" i="9"/>
  <c r="H29" i="8"/>
  <c r="H25" i="8"/>
  <c r="H24" i="8" l="1"/>
  <c r="H12" i="8"/>
  <c r="H8" i="8"/>
  <c r="H7" i="7"/>
  <c r="H25" i="4"/>
  <c r="H7" i="8" l="1"/>
  <c r="H19" i="7"/>
  <c r="H9" i="4" l="1"/>
  <c r="H13" i="4"/>
  <c r="H13" i="3"/>
  <c r="H20" i="3"/>
  <c r="H8" i="4" l="1"/>
  <c r="H7" i="4" s="1"/>
  <c r="H8" i="5"/>
  <c r="H21" i="1" l="1"/>
  <c r="H8" i="1"/>
  <c r="G31" i="9" l="1"/>
  <c r="F31" i="9"/>
  <c r="C31" i="9"/>
  <c r="G25" i="9"/>
  <c r="F25" i="9"/>
  <c r="C25" i="9"/>
  <c r="G19" i="9"/>
  <c r="F19" i="9"/>
  <c r="G13" i="9"/>
  <c r="F13" i="9"/>
  <c r="G7" i="9"/>
  <c r="F7" i="9"/>
  <c r="C7" i="9"/>
  <c r="G29" i="8"/>
  <c r="F29" i="8"/>
  <c r="C29" i="8"/>
  <c r="G25" i="8"/>
  <c r="F25" i="8"/>
  <c r="G12" i="8"/>
  <c r="F12" i="8"/>
  <c r="C12" i="8"/>
  <c r="G8" i="8"/>
  <c r="F8" i="8"/>
  <c r="C8" i="8"/>
  <c r="G7" i="7"/>
  <c r="F7" i="7"/>
  <c r="C7" i="7"/>
  <c r="G19" i="10"/>
  <c r="F19" i="10"/>
  <c r="C19" i="10"/>
  <c r="G25" i="4"/>
  <c r="F25" i="4"/>
  <c r="G13" i="4"/>
  <c r="F13" i="4"/>
  <c r="G9" i="4"/>
  <c r="F9" i="4"/>
  <c r="C9" i="4"/>
  <c r="G13" i="3"/>
  <c r="F13" i="3"/>
  <c r="C13" i="3"/>
  <c r="G8" i="5"/>
  <c r="F8" i="5"/>
  <c r="C8" i="5"/>
  <c r="G36" i="1"/>
  <c r="F36" i="1"/>
  <c r="G21" i="1"/>
  <c r="F21" i="1"/>
  <c r="C21" i="1"/>
  <c r="G8" i="1"/>
  <c r="F8" i="1"/>
  <c r="C7" i="8" l="1"/>
  <c r="G7" i="8"/>
  <c r="G19" i="7"/>
  <c r="C19" i="7"/>
  <c r="F7" i="10"/>
  <c r="F19" i="7"/>
  <c r="F7" i="8"/>
  <c r="F24" i="8"/>
  <c r="C7" i="10"/>
  <c r="C8" i="4"/>
  <c r="C7" i="4" s="1"/>
  <c r="G8" i="4"/>
  <c r="G7" i="4" s="1"/>
  <c r="F8" i="4"/>
  <c r="F7" i="4" s="1"/>
  <c r="G24" i="8"/>
  <c r="G7" i="10"/>
</calcChain>
</file>

<file path=xl/sharedStrings.xml><?xml version="1.0" encoding="utf-8"?>
<sst xmlns="http://schemas.openxmlformats.org/spreadsheetml/2006/main" count="534" uniqueCount="137">
  <si>
    <t>Obrigações do Tesouro</t>
  </si>
  <si>
    <t xml:space="preserve">Bilhetes do Tesouro </t>
  </si>
  <si>
    <t>Empresariais</t>
  </si>
  <si>
    <t>Municipais</t>
  </si>
  <si>
    <t>Ofertas Públicas</t>
  </si>
  <si>
    <t>Ações</t>
  </si>
  <si>
    <t>Lances competitivos</t>
  </si>
  <si>
    <t>Lances não competitivos</t>
  </si>
  <si>
    <t>Outras instituições autorizadas</t>
  </si>
  <si>
    <t>Instituições de crédito</t>
  </si>
  <si>
    <t>Sociedades Não Financeiras</t>
  </si>
  <si>
    <t>Sociedades Financeiras</t>
  </si>
  <si>
    <t>Famílias</t>
  </si>
  <si>
    <t>das quais:</t>
  </si>
  <si>
    <t>Outras sociedades financeiras</t>
  </si>
  <si>
    <t>Sociedades não financeiras públicas</t>
  </si>
  <si>
    <t>Sociedades não financeiras privadas</t>
  </si>
  <si>
    <t>Instituições sem fins lucrativos ao serviço das famílias</t>
  </si>
  <si>
    <t>Número de empresas cotadas</t>
  </si>
  <si>
    <t>Número de ofertas públicas iniciais</t>
  </si>
  <si>
    <t>Número de ofertas para aumento de capital das cotadas</t>
  </si>
  <si>
    <t>sustentáveis</t>
  </si>
  <si>
    <t>produtos complexos</t>
  </si>
  <si>
    <t>das quais na modalidade de oferta pública</t>
  </si>
  <si>
    <t xml:space="preserve"> Juro das obrigações por saldar (taxa média, em anos)</t>
  </si>
  <si>
    <t>Maturidade das obrigações por saldar (média, em anos)</t>
  </si>
  <si>
    <t>Títulos do Tesouro</t>
  </si>
  <si>
    <t>Obrigações Empresariais</t>
  </si>
  <si>
    <t>Obrigações Municipais</t>
  </si>
  <si>
    <t>Ações cotadas</t>
  </si>
  <si>
    <t>Sociedades não financeiras</t>
  </si>
  <si>
    <t>Sociedades financeiras</t>
  </si>
  <si>
    <t>das quais títulos sustentáveis</t>
  </si>
  <si>
    <t>Ofertas Particulares</t>
  </si>
  <si>
    <t>Sociedades de seguro</t>
  </si>
  <si>
    <t>Segurança social</t>
  </si>
  <si>
    <t>não residentes</t>
  </si>
  <si>
    <t>públicas</t>
  </si>
  <si>
    <t>Eletricidade e água</t>
  </si>
  <si>
    <t xml:space="preserve">Construção </t>
  </si>
  <si>
    <t>Imobiliária</t>
  </si>
  <si>
    <t>Transporte aéreo</t>
  </si>
  <si>
    <t>Transporte marítimo</t>
  </si>
  <si>
    <t>Comércio e Prestação de Serviços</t>
  </si>
  <si>
    <t>Novas emissões (em milhões de CVE)</t>
  </si>
  <si>
    <t>Stock de emissões por saldar (em milhões de CVE)</t>
  </si>
  <si>
    <t>Juros vencidos pagos</t>
  </si>
  <si>
    <t>Estado</t>
  </si>
  <si>
    <t>Municípios</t>
  </si>
  <si>
    <t>Principal vencido e pago</t>
  </si>
  <si>
    <t>Número de novas emissões</t>
  </si>
  <si>
    <t>Valor de novas emissões (em milhões de CVE)</t>
  </si>
  <si>
    <t>Maturidade de novas emissões (média, em anos)</t>
  </si>
  <si>
    <t>Juro de novas emissões (taxa média, em anos)</t>
  </si>
  <si>
    <t>Dívida Pública (Títulos do Tesouro)</t>
  </si>
  <si>
    <t>emitidas na modalidade de oferta pública</t>
  </si>
  <si>
    <t>dos quais:</t>
  </si>
  <si>
    <t xml:space="preserve">no mercado fora de bolsa de valores cotados </t>
  </si>
  <si>
    <t>no mercado de bolsa</t>
  </si>
  <si>
    <t>das quais sociedades financeiras</t>
  </si>
  <si>
    <t>Transmissões gratuítas de  valores cotados</t>
  </si>
  <si>
    <t>Obrigações cotadas</t>
  </si>
  <si>
    <t>Cálculos da Auditoria Geral do Mercado de Valores Mobiliários na ótica do comprador.</t>
  </si>
  <si>
    <t xml:space="preserve">Sociedades de seguro e fundos de pensões </t>
  </si>
  <si>
    <t>Informação e comunicação</t>
  </si>
  <si>
    <t>1. Exclui Títulos de Rendimento de Mobilização de Capital.</t>
  </si>
  <si>
    <t>Cálculos da Auditoria Geral do Mercado de Valores Mobiliários.</t>
  </si>
  <si>
    <t xml:space="preserve">Investimento no mercado primário - obrigações </t>
  </si>
  <si>
    <t>Transações no mercado secundário</t>
  </si>
  <si>
    <t>Mercado de ações</t>
  </si>
  <si>
    <t>Mercado de obrigações - novas emissões</t>
  </si>
  <si>
    <t>Investimento no mercado primário - ações</t>
  </si>
  <si>
    <t>Rendimentos distribuídos e serviço da dívida</t>
  </si>
  <si>
    <t>Auditoria Geral do Mercado de Valores Mobiliários</t>
  </si>
  <si>
    <r>
      <t>Avenida OUA, 2/ CP: 7954-094</t>
    </r>
    <r>
      <rPr>
        <sz val="11"/>
        <color rgb="FF002060"/>
        <rFont val="Times New Roman"/>
        <family val="1"/>
      </rPr>
      <t xml:space="preserve"> </t>
    </r>
    <r>
      <rPr>
        <sz val="10"/>
        <color rgb="FF002060"/>
        <rFont val="Times New Roman"/>
        <family val="1"/>
      </rPr>
      <t>- Praia - Cabo Verde</t>
    </r>
  </si>
  <si>
    <r>
      <t>Títulos de Rendimento de Mobilização de Capital</t>
    </r>
    <r>
      <rPr>
        <vertAlign val="superscript"/>
        <sz val="11"/>
        <color rgb="FF002060"/>
        <rFont val="Calibri"/>
        <family val="2"/>
        <scheme val="minor"/>
      </rPr>
      <t>1</t>
    </r>
  </si>
  <si>
    <r>
      <t xml:space="preserve">Dividendos distribuídos 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</si>
  <si>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 xml:space="preserve">Rendimentos de TRMC distribuídos 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</si>
  <si>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 xml:space="preserve">Juros vencidos e não pagos </t>
    </r>
    <r>
      <rPr>
        <b/>
        <vertAlign val="superscript"/>
        <sz val="11"/>
        <color rgb="FF002060"/>
        <rFont val="Calibri"/>
        <family val="2"/>
        <scheme val="minor"/>
      </rPr>
      <t>2</t>
    </r>
  </si>
  <si>
    <r>
      <t xml:space="preserve">Principal vencido e não pago </t>
    </r>
    <r>
      <rPr>
        <b/>
        <vertAlign val="superscript"/>
        <sz val="11"/>
        <color rgb="FF002060"/>
        <rFont val="Calibri"/>
        <family val="2"/>
        <scheme val="minor"/>
      </rPr>
      <t>3</t>
    </r>
  </si>
  <si>
    <r>
      <t>Cotações (médias em CVE, valores de fim de período)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</si>
  <si>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>Capitalização bolsista</t>
    </r>
    <r>
      <rPr>
        <sz val="11"/>
        <color rgb="FF002060"/>
        <rFont val="Calibri"/>
        <family val="2"/>
        <scheme val="minor"/>
      </rPr>
      <t>,</t>
    </r>
    <r>
      <rPr>
        <b/>
        <sz val="11"/>
        <color rgb="FF002060"/>
        <rFont val="Calibri"/>
        <family val="2"/>
        <scheme val="minor"/>
      </rPr>
      <t xml:space="preserve"> </t>
    </r>
    <r>
      <rPr>
        <sz val="11"/>
        <color rgb="FF002060"/>
        <rFont val="Calibri"/>
        <family val="2"/>
        <scheme val="minor"/>
      </rPr>
      <t>em milhões de CVE</t>
    </r>
  </si>
  <si>
    <t>Altura da linha 15</t>
  </si>
  <si>
    <t>largura das colunas com dados 10</t>
  </si>
  <si>
    <t>Símbolo no cabeçalho quando o quadro não pode ser visualizado na totalidade com resolução de 100%</t>
  </si>
  <si>
    <t>Tílulo na linha 3</t>
  </si>
  <si>
    <t>referência aos dados na linha 4</t>
  </si>
  <si>
    <t>quadro começa na coluna B</t>
  </si>
  <si>
    <t>Transporte e armazenagem</t>
  </si>
  <si>
    <t>-</t>
  </si>
  <si>
    <t>Stock de obrigações (valor, em milhões de CVE)</t>
  </si>
  <si>
    <t>Mercado de obrigações - stock de emissões</t>
  </si>
  <si>
    <t xml:space="preserve">Investimento no mercado secundário </t>
  </si>
  <si>
    <r>
      <t>Subscritores de obrigações no mercado primário (fluxo, em milhões de CVE)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</si>
  <si>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t>Subscritores de ações no mercado primário (fluxo, em milhões de CVE)</t>
  </si>
  <si>
    <t>Bilhetes e Obrigações do Tesouro</t>
  </si>
  <si>
    <r>
      <t xml:space="preserve">Títulos de Rendimento de Mobilização de Capital </t>
    </r>
    <r>
      <rPr>
        <b/>
        <i/>
        <vertAlign val="superscript"/>
        <sz val="11"/>
        <color rgb="FF002060"/>
        <rFont val="Calibri"/>
        <family val="2"/>
        <scheme val="minor"/>
      </rPr>
      <t>2</t>
    </r>
  </si>
  <si>
    <t>1. Valores distribuídos no período de referência.</t>
  </si>
  <si>
    <t>2. Inclui todo o montante de juros vencidos e não pagos até o período de referência.</t>
  </si>
  <si>
    <t xml:space="preserve">3. Inclui todo o montante de principal vencido e não pago (acumulado) até o período de referência.  </t>
  </si>
  <si>
    <r>
      <t xml:space="preserve">1. Inclui todas obrigações  empresariais e municipais, clássicas e sustentáveis, bem como </t>
    </r>
    <r>
      <rPr>
        <i/>
        <sz val="9"/>
        <color rgb="FF002060"/>
        <rFont val="Calibri"/>
        <family val="2"/>
        <scheme val="minor"/>
      </rPr>
      <t>credit linked notes</t>
    </r>
    <r>
      <rPr>
        <sz val="9"/>
        <color rgb="FF002060"/>
        <rFont val="Calibri"/>
        <family val="2"/>
        <scheme val="minor"/>
      </rPr>
      <t>.</t>
    </r>
  </si>
  <si>
    <r>
      <t>Transação em sessão especial de Bolsa,</t>
    </r>
    <r>
      <rPr>
        <b/>
        <vertAlign val="superscript"/>
        <sz val="11"/>
        <color rgb="FF002060"/>
        <rFont val="Calibri"/>
        <family val="2"/>
        <scheme val="minor"/>
      </rPr>
      <t xml:space="preserve">1 </t>
    </r>
    <r>
      <rPr>
        <sz val="11"/>
        <color rgb="FF002060"/>
        <rFont val="Calibri"/>
        <family val="2"/>
        <scheme val="minor"/>
      </rPr>
      <t>em milhões de CVE</t>
    </r>
  </si>
  <si>
    <t>1.  Em modalidade de oferta pública.</t>
  </si>
  <si>
    <t xml:space="preserve">1. Títulos de Rendimento de Mobilização de Capital são títulos nominativos perpétuos, livremente transacionáveis, emitidos pelo Estado para a realização do capital social do  Fundo  Soberano de Garantia de Investimento Privado. A sua titualridade confere direito à distribuição de </t>
  </si>
  <si>
    <t>dividendos após o apuramento dos resultados anuais do Fundo.</t>
  </si>
  <si>
    <t xml:space="preserve">TRMC- Títulos de Rendimento de Mobilização de Capital são títulos nominativos perpétuos, livremente transacionáveis, emitidos pelo Estado para a realização do capital social do Fundo Soberano de Garantia de Investimento Privado. A sua titualridade confere direito à distribuição </t>
  </si>
  <si>
    <t>de dividendos após o apuramento dos resultados anuais do Fundo.</t>
  </si>
  <si>
    <t xml:space="preserve">2. Títulos de Rendimento de Mobilização de Capital são títulos nominativos perpétuos, livremente transacionáveis, emitidos pelo Estado para a realização do capital social do  Fundo Soberano de Garantia de Investimento Privado. A sua titualridade confere direito à distribuição de dividendos após o </t>
  </si>
  <si>
    <t xml:space="preserve">  apuramento dos resultados anuais do Fundo.</t>
  </si>
  <si>
    <t>http://www.agmvm.cv</t>
  </si>
  <si>
    <r>
      <t>Subscritores de Dívida Pública (novas emissões, em milhões de CVE)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</si>
  <si>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rPr>
        <b/>
        <sz val="9"/>
        <color rgb="FF002060"/>
        <rFont val="Calibri"/>
        <family val="2"/>
        <scheme val="minor"/>
      </rPr>
      <t>Fonte</t>
    </r>
    <r>
      <rPr>
        <sz val="9"/>
        <color rgb="FF002060"/>
        <rFont val="Calibri"/>
        <family val="2"/>
        <scheme val="minor"/>
      </rPr>
      <t>: Bolsa de Valores de Cabo Verde S.A.; Intermediários Financeiros registados na Auditoria Geral do Mercado de Valores Mobiliários; e Banco de Cabo Verde.</t>
    </r>
  </si>
  <si>
    <t>Investimento nas novas emissões de títulos de dívida pública</t>
  </si>
  <si>
    <t>Indústria farmacêutica</t>
  </si>
  <si>
    <t>Ações não cotadas</t>
  </si>
  <si>
    <t>Obrigações não cotadas</t>
  </si>
  <si>
    <t xml:space="preserve">no mercado fora de bolsa de valores não cotados </t>
  </si>
  <si>
    <t>Sessão Especial de bolsa (em milhões de CVE)</t>
  </si>
  <si>
    <t>Mercado de bolsa (em milhões de CVE)</t>
  </si>
  <si>
    <t>Mercado fora de bolsa (em milhões de CVE)</t>
  </si>
  <si>
    <t>Sessão especial de bolsa (em milhões de CVE)</t>
  </si>
  <si>
    <t>Obrigações empresariais</t>
  </si>
  <si>
    <t>Obrigações municipais</t>
  </si>
  <si>
    <t>Mercado de fora de bolsa (em milhões de CVE)</t>
  </si>
  <si>
    <t>Telefone: +238 2607171/ e-mail: agmvm@bcv.cv</t>
  </si>
  <si>
    <r>
      <t>Resto do mundo</t>
    </r>
    <r>
      <rPr>
        <vertAlign val="superscript"/>
        <sz val="11"/>
        <color rgb="FF002060"/>
        <rFont val="Calibri"/>
        <family val="2"/>
        <scheme val="minor"/>
      </rPr>
      <t>2</t>
    </r>
  </si>
  <si>
    <r>
      <t>Resto do mundo</t>
    </r>
    <r>
      <rPr>
        <vertAlign val="superscript"/>
        <sz val="11"/>
        <color rgb="FF002060"/>
        <rFont val="Calibri"/>
        <family val="2"/>
        <scheme val="minor"/>
      </rPr>
      <t>1</t>
    </r>
  </si>
  <si>
    <t>n.d</t>
  </si>
  <si>
    <t>n.d - não disponível</t>
  </si>
  <si>
    <t xml:space="preserve">1. Corresponde a subscritores não residentes sejam sociedades sejam particulares. Limitações na sectorização institucional dos investidores condicionam a autonomização das subscrições das entidades pertencentes ao sector resto do mundo antes de dezembro de 2025. A AGMVM está a implementar um </t>
  </si>
  <si>
    <t>plano de melhoria das estatísticas produzidas, o que a termo resultará na correção das estatísticas históricas da participação de investidores não residentes nas operações do mercado de valores mobiliários nacional.</t>
  </si>
  <si>
    <t xml:space="preserve">2. Corresponde a subscritores não residentes sejam sociedades sejam particulares. Limitações na sectorização institucional dos investidores condicionam a autonomização das subscrições das entidades pertencentes ao sector resto do mundo antes de dezembro de 2025. A AGMVM está a implementar um </t>
  </si>
  <si>
    <t xml:space="preserve">1. O valor das cotações, resultante de transações em bolsa, a cada período corresponde à média das cotações de cada entidade no final do período de referência. </t>
  </si>
  <si>
    <r>
      <t>Valor de negócios no mercado secundário,</t>
    </r>
    <r>
      <rPr>
        <sz val="11"/>
        <color rgb="FF002060"/>
        <rFont val="Calibri"/>
        <family val="2"/>
        <scheme val="minor"/>
      </rPr>
      <t xml:space="preserve"> em milhões de CVE</t>
    </r>
  </si>
  <si>
    <t>Emitentes empresariais por sector institucional e ramos de atividade</t>
  </si>
  <si>
    <t xml:space="preserve">1. Corresponde a subscritores não residentes sejam sociedades sejam particulares. Limitações na sectorização institucional dos investidores condicionam a autonomização das subscrições das entidades pertencentes ao sector resto do mundo antes de dezembro de 2025. </t>
  </si>
  <si>
    <t>A AGMVM está a implementar um plano de melhoria das estatísticas produzidas, o que a termo resultará na correção das estatísticas históricas da participação de investidores não residentes nas operações do mercado de valores mobiliários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</si>
</sst>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_-* #,##0.0_-;\-* #,##0.0_-;_-* &quot;-&quot;_-;_-@_-"/>
    <numFmt numFmtId="167" formatCode="_-* #,##0.00_-;\-* #,##0.00_-;_-* &quot;-&quot;_-;_-@_-"/>
    <numFmt numFmtId="168" formatCode="_-* #,##0.00000_-;\-* #,##0.00000_-;_-* &quot;-&quot;_-;_-@_-"/>
    <numFmt numFmtId="169" formatCode="#,##0_ ;\-#,##0\ "/>
    <numFmt numFmtId="170" formatCode="0.000"/>
    <numFmt numFmtId="171" formatCode="_-* #,##0.000_-;\-* #,##0.000_-;_-* &quot;-&quot;??_-;_-@_-"/>
    <numFmt numFmtId="172" formatCode="0.0000"/>
    <numFmt numFmtId="173" formatCode="_-* #,##0.0000\ _€_-;\-* #,##0.0000\ _€_-;_-* &quot;-&quot;??\ _€_-;_-@_-"/>
    <numFmt numFmtId="174" formatCode="#,##0.00_ ;\-#,##0.00\ "/>
    <numFmt numFmtId="175" formatCode="0.0%"/>
    <numFmt numFmtId="176" formatCode="_-* #,##0.0000_-;\-* #,##0.0000_-;_-* &quot;-&quot;_-;_-@_-"/>
    <numFmt numFmtId="177" formatCode="_-* #,##0.0\ _€_-;\-* #,##0.0\ _€_-;_-* &quot;-&quot;??\ _€_-;_-@_-"/>
    <numFmt numFmtId="178" formatCode="_-* #,##0\ _€_-;\-* #,##0\ _€_-;_-* &quot;-&quot;??\ _€_-;_-@_-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0"/>
      <color rgb="FF002060"/>
      <name val="Times New Roman"/>
      <family val="1"/>
    </font>
    <font>
      <sz val="11"/>
      <color rgb="FF00206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0"/>
      <color theme="8" tint="-0.249977111117893"/>
      <name val="Times New Roman"/>
      <family val="1"/>
    </font>
    <font>
      <sz val="10"/>
      <color theme="8" tint="-0.249977111117893"/>
      <name val="Times New Roman"/>
      <family val="1"/>
    </font>
    <font>
      <sz val="10"/>
      <color theme="8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vertAlign val="superscript"/>
      <sz val="11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vertAlign val="superscript"/>
      <sz val="11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vertAlign val="superscript"/>
      <sz val="11"/>
      <color rgb="FF00206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12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29">
    <xf numFmtId="0" fontId="0" fillId="0" borderId="0" xfId="0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9" fillId="3" borderId="0" xfId="0" applyFont="1" applyFill="1"/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1" fillId="3" borderId="0" xfId="2" applyFont="1" applyFill="1" applyAlignment="1">
      <alignment vertical="center"/>
    </xf>
    <xf numFmtId="0" fontId="12" fillId="3" borderId="0" xfId="0" applyFont="1" applyFill="1"/>
    <xf numFmtId="0" fontId="13" fillId="3" borderId="0" xfId="0" applyFont="1" applyFill="1"/>
    <xf numFmtId="0" fontId="2" fillId="3" borderId="0" xfId="0" applyFont="1" applyFill="1" applyAlignment="1">
      <alignment horizontal="left" indent="1"/>
    </xf>
    <xf numFmtId="0" fontId="14" fillId="3" borderId="0" xfId="0" applyFont="1" applyFill="1"/>
    <xf numFmtId="17" fontId="14" fillId="3" borderId="0" xfId="0" applyNumberFormat="1" applyFont="1" applyFill="1" applyAlignment="1">
      <alignment horizontal="center"/>
    </xf>
    <xf numFmtId="0" fontId="15" fillId="3" borderId="0" xfId="0" applyFont="1" applyFill="1"/>
    <xf numFmtId="0" fontId="16" fillId="3" borderId="0" xfId="0" applyFont="1" applyFill="1" applyAlignment="1">
      <alignment horizontal="left" indent="1"/>
    </xf>
    <xf numFmtId="0" fontId="14" fillId="3" borderId="0" xfId="0" applyFont="1" applyFill="1" applyAlignment="1">
      <alignment horizontal="left" indent="2"/>
    </xf>
    <xf numFmtId="0" fontId="14" fillId="3" borderId="0" xfId="0" applyFont="1" applyFill="1" applyAlignment="1">
      <alignment horizontal="left" indent="1"/>
    </xf>
    <xf numFmtId="0" fontId="18" fillId="3" borderId="0" xfId="0" applyFont="1" applyFill="1" applyAlignment="1">
      <alignment horizontal="left" indent="1"/>
    </xf>
    <xf numFmtId="0" fontId="15" fillId="3" borderId="0" xfId="0" applyFont="1" applyFill="1" applyAlignment="1">
      <alignment horizontal="right"/>
    </xf>
    <xf numFmtId="0" fontId="20" fillId="3" borderId="0" xfId="0" applyFont="1" applyFill="1"/>
    <xf numFmtId="0" fontId="14" fillId="3" borderId="1" xfId="0" applyFont="1" applyFill="1" applyBorder="1" applyAlignment="1">
      <alignment horizontal="left" indent="1"/>
    </xf>
    <xf numFmtId="0" fontId="14" fillId="3" borderId="1" xfId="0" applyFont="1" applyFill="1" applyBorder="1" applyAlignment="1">
      <alignment horizontal="left" indent="2"/>
    </xf>
    <xf numFmtId="0" fontId="15" fillId="3" borderId="0" xfId="0" applyFont="1" applyFill="1" applyAlignment="1">
      <alignment horizontal="left"/>
    </xf>
    <xf numFmtId="0" fontId="14" fillId="3" borderId="0" xfId="0" applyFont="1" applyFill="1" applyAlignment="1">
      <alignment horizontal="left" indent="3"/>
    </xf>
    <xf numFmtId="0" fontId="14" fillId="3" borderId="0" xfId="0" applyFont="1" applyFill="1" applyAlignment="1">
      <alignment horizontal="left" indent="4"/>
    </xf>
    <xf numFmtId="0" fontId="14" fillId="3" borderId="0" xfId="0" applyFont="1" applyFill="1" applyAlignment="1">
      <alignment horizontal="left" indent="5"/>
    </xf>
    <xf numFmtId="0" fontId="14" fillId="3" borderId="0" xfId="0" applyFont="1" applyFill="1" applyAlignment="1">
      <alignment horizontal="left"/>
    </xf>
    <xf numFmtId="165" fontId="25" fillId="3" borderId="0" xfId="0" applyNumberFormat="1" applyFont="1" applyFill="1" applyAlignment="1">
      <alignment horizontal="center" vertical="center"/>
    </xf>
    <xf numFmtId="10" fontId="14" fillId="3" borderId="0" xfId="3" applyNumberFormat="1" applyFont="1" applyFill="1"/>
    <xf numFmtId="10" fontId="14" fillId="3" borderId="0" xfId="0" applyNumberFormat="1" applyFont="1" applyFill="1"/>
    <xf numFmtId="10" fontId="14" fillId="3" borderId="0" xfId="3" applyNumberFormat="1" applyFont="1" applyFill="1" applyAlignment="1">
      <alignment horizontal="right"/>
    </xf>
    <xf numFmtId="10" fontId="16" fillId="3" borderId="0" xfId="3" applyNumberFormat="1" applyFont="1" applyFill="1" applyAlignment="1">
      <alignment horizontal="right"/>
    </xf>
    <xf numFmtId="10" fontId="14" fillId="3" borderId="2" xfId="3" applyNumberFormat="1" applyFont="1" applyFill="1" applyBorder="1" applyAlignment="1">
      <alignment horizontal="right"/>
    </xf>
    <xf numFmtId="0" fontId="26" fillId="3" borderId="0" xfId="0" applyFont="1" applyFill="1"/>
    <xf numFmtId="10" fontId="15" fillId="3" borderId="0" xfId="0" applyNumberFormat="1" applyFont="1" applyFill="1"/>
    <xf numFmtId="0" fontId="24" fillId="3" borderId="0" xfId="0" applyFont="1" applyFill="1"/>
    <xf numFmtId="167" fontId="14" fillId="3" borderId="0" xfId="0" applyNumberFormat="1" applyFont="1" applyFill="1"/>
    <xf numFmtId="167" fontId="16" fillId="3" borderId="0" xfId="0" applyNumberFormat="1" applyFont="1" applyFill="1"/>
    <xf numFmtId="167" fontId="15" fillId="3" borderId="0" xfId="0" applyNumberFormat="1" applyFont="1" applyFill="1"/>
    <xf numFmtId="167" fontId="14" fillId="3" borderId="1" xfId="0" applyNumberFormat="1" applyFont="1" applyFill="1" applyBorder="1"/>
    <xf numFmtId="164" fontId="0" fillId="3" borderId="0" xfId="0" applyNumberFormat="1" applyFill="1"/>
    <xf numFmtId="0" fontId="5" fillId="3" borderId="0" xfId="0" applyFont="1" applyFill="1"/>
    <xf numFmtId="0" fontId="0" fillId="2" borderId="0" xfId="0" applyFill="1"/>
    <xf numFmtId="0" fontId="13" fillId="2" borderId="0" xfId="0" applyFont="1" applyFill="1"/>
    <xf numFmtId="0" fontId="12" fillId="2" borderId="0" xfId="0" applyFont="1" applyFill="1" applyAlignment="1">
      <alignment vertical="center"/>
    </xf>
    <xf numFmtId="17" fontId="0" fillId="3" borderId="0" xfId="0" applyNumberFormat="1" applyFill="1"/>
    <xf numFmtId="0" fontId="16" fillId="3" borderId="0" xfId="0" applyFont="1" applyFill="1" applyAlignment="1">
      <alignment horizontal="left" wrapText="1" indent="1"/>
    </xf>
    <xf numFmtId="172" fontId="25" fillId="3" borderId="0" xfId="0" applyNumberFormat="1" applyFont="1" applyFill="1" applyAlignment="1">
      <alignment horizontal="center"/>
    </xf>
    <xf numFmtId="164" fontId="26" fillId="3" borderId="0" xfId="0" applyNumberFormat="1" applyFont="1" applyFill="1"/>
    <xf numFmtId="167" fontId="28" fillId="3" borderId="0" xfId="0" applyNumberFormat="1" applyFont="1" applyFill="1"/>
    <xf numFmtId="0" fontId="28" fillId="3" borderId="0" xfId="0" applyFont="1" applyFill="1"/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4"/>
    </xf>
    <xf numFmtId="4" fontId="14" fillId="3" borderId="0" xfId="0" applyNumberFormat="1" applyFont="1" applyFill="1"/>
    <xf numFmtId="4" fontId="0" fillId="3" borderId="0" xfId="0" applyNumberFormat="1" applyFill="1"/>
    <xf numFmtId="165" fontId="26" fillId="3" borderId="0" xfId="0" applyNumberFormat="1" applyFont="1" applyFill="1"/>
    <xf numFmtId="165" fontId="14" fillId="3" borderId="0" xfId="0" applyNumberFormat="1" applyFont="1" applyFill="1"/>
    <xf numFmtId="167" fontId="14" fillId="3" borderId="0" xfId="0" quotePrefix="1" applyNumberFormat="1" applyFont="1" applyFill="1"/>
    <xf numFmtId="10" fontId="16" fillId="3" borderId="0" xfId="3" applyNumberFormat="1" applyFont="1" applyFill="1" applyAlignment="1"/>
    <xf numFmtId="10" fontId="14" fillId="3" borderId="0" xfId="3" applyNumberFormat="1" applyFont="1" applyFill="1" applyAlignment="1"/>
    <xf numFmtId="169" fontId="16" fillId="3" borderId="0" xfId="0" applyNumberFormat="1" applyFont="1" applyFill="1"/>
    <xf numFmtId="169" fontId="14" fillId="3" borderId="0" xfId="0" applyNumberFormat="1" applyFont="1" applyFill="1"/>
    <xf numFmtId="10" fontId="16" fillId="3" borderId="0" xfId="0" applyNumberFormat="1" applyFont="1" applyFill="1"/>
    <xf numFmtId="167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165" fontId="16" fillId="3" borderId="0" xfId="0" applyNumberFormat="1" applyFont="1" applyFill="1"/>
    <xf numFmtId="166" fontId="14" fillId="3" borderId="0" xfId="0" applyNumberFormat="1" applyFont="1" applyFill="1"/>
    <xf numFmtId="41" fontId="16" fillId="3" borderId="0" xfId="0" applyNumberFormat="1" applyFont="1" applyFill="1"/>
    <xf numFmtId="41" fontId="14" fillId="3" borderId="0" xfId="0" applyNumberFormat="1" applyFont="1" applyFill="1"/>
    <xf numFmtId="41" fontId="14" fillId="3" borderId="1" xfId="0" applyNumberFormat="1" applyFont="1" applyFill="1" applyBorder="1"/>
    <xf numFmtId="166" fontId="15" fillId="3" borderId="0" xfId="0" applyNumberFormat="1" applyFont="1" applyFill="1" applyAlignment="1">
      <alignment wrapText="1"/>
    </xf>
    <xf numFmtId="166" fontId="16" fillId="3" borderId="0" xfId="0" applyNumberFormat="1" applyFont="1" applyFill="1"/>
    <xf numFmtId="166" fontId="14" fillId="3" borderId="0" xfId="0" applyNumberFormat="1" applyFont="1" applyFill="1" applyAlignment="1">
      <alignment wrapText="1"/>
    </xf>
    <xf numFmtId="170" fontId="26" fillId="3" borderId="0" xfId="0" applyNumberFormat="1" applyFont="1" applyFill="1" applyAlignment="1">
      <alignment wrapText="1"/>
    </xf>
    <xf numFmtId="170" fontId="26" fillId="0" borderId="0" xfId="0" applyNumberFormat="1" applyFont="1" applyAlignment="1">
      <alignment wrapText="1"/>
    </xf>
    <xf numFmtId="0" fontId="30" fillId="3" borderId="0" xfId="0" applyFont="1" applyFill="1" applyAlignment="1">
      <alignment horizontal="left" indent="2"/>
    </xf>
    <xf numFmtId="167" fontId="30" fillId="3" borderId="0" xfId="0" applyNumberFormat="1" applyFont="1" applyFill="1"/>
    <xf numFmtId="165" fontId="25" fillId="3" borderId="0" xfId="0" applyNumberFormat="1" applyFont="1" applyFill="1" applyAlignment="1">
      <alignment wrapText="1"/>
    </xf>
    <xf numFmtId="0" fontId="29" fillId="3" borderId="0" xfId="0" applyFont="1" applyFill="1"/>
    <xf numFmtId="0" fontId="31" fillId="3" borderId="0" xfId="0" applyFont="1" applyFill="1"/>
    <xf numFmtId="3" fontId="14" fillId="3" borderId="0" xfId="0" applyNumberFormat="1" applyFont="1" applyFill="1"/>
    <xf numFmtId="41" fontId="15" fillId="3" borderId="0" xfId="0" applyNumberFormat="1" applyFont="1" applyFill="1"/>
    <xf numFmtId="173" fontId="0" fillId="3" borderId="0" xfId="0" applyNumberFormat="1" applyFill="1"/>
    <xf numFmtId="10" fontId="14" fillId="3" borderId="1" xfId="0" applyNumberFormat="1" applyFont="1" applyFill="1" applyBorder="1"/>
    <xf numFmtId="169" fontId="14" fillId="3" borderId="0" xfId="0" applyNumberFormat="1" applyFont="1" applyFill="1" applyAlignment="1">
      <alignment horizontal="right"/>
    </xf>
    <xf numFmtId="168" fontId="15" fillId="3" borderId="0" xfId="0" applyNumberFormat="1" applyFont="1" applyFill="1"/>
    <xf numFmtId="167" fontId="15" fillId="0" borderId="0" xfId="0" applyNumberFormat="1" applyFont="1"/>
    <xf numFmtId="174" fontId="14" fillId="3" borderId="0" xfId="0" applyNumberFormat="1" applyFont="1" applyFill="1"/>
    <xf numFmtId="167" fontId="14" fillId="0" borderId="0" xfId="0" applyNumberFormat="1" applyFont="1"/>
    <xf numFmtId="0" fontId="14" fillId="0" borderId="0" xfId="0" applyFont="1" applyAlignment="1">
      <alignment horizontal="left" indent="1"/>
    </xf>
    <xf numFmtId="0" fontId="16" fillId="3" borderId="0" xfId="0" applyFont="1" applyFill="1"/>
    <xf numFmtId="17" fontId="14" fillId="3" borderId="0" xfId="0" applyNumberFormat="1" applyFont="1" applyFill="1"/>
    <xf numFmtId="171" fontId="14" fillId="3" borderId="0" xfId="4" applyNumberFormat="1" applyFont="1" applyFill="1" applyAlignment="1">
      <alignment horizontal="center"/>
    </xf>
    <xf numFmtId="172" fontId="14" fillId="3" borderId="0" xfId="0" applyNumberFormat="1" applyFont="1" applyFill="1"/>
    <xf numFmtId="172" fontId="32" fillId="3" borderId="0" xfId="0" applyNumberFormat="1" applyFont="1" applyFill="1"/>
    <xf numFmtId="164" fontId="14" fillId="3" borderId="0" xfId="0" applyNumberFormat="1" applyFont="1" applyFill="1"/>
    <xf numFmtId="17" fontId="15" fillId="3" borderId="0" xfId="0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33" fillId="3" borderId="0" xfId="0" applyFont="1" applyFill="1"/>
    <xf numFmtId="10" fontId="16" fillId="3" borderId="0" xfId="3" applyNumberFormat="1" applyFont="1" applyFill="1"/>
    <xf numFmtId="166" fontId="14" fillId="3" borderId="0" xfId="0" applyNumberFormat="1" applyFont="1" applyFill="1" applyAlignment="1">
      <alignment vertical="center"/>
    </xf>
    <xf numFmtId="166" fontId="14" fillId="3" borderId="0" xfId="0" applyNumberFormat="1" applyFont="1" applyFill="1" applyAlignment="1">
      <alignment vertical="center" wrapText="1"/>
    </xf>
    <xf numFmtId="10" fontId="34" fillId="3" borderId="0" xfId="0" applyNumberFormat="1" applyFont="1" applyFill="1"/>
    <xf numFmtId="175" fontId="14" fillId="3" borderId="0" xfId="3" applyNumberFormat="1" applyFont="1" applyFill="1"/>
    <xf numFmtId="9" fontId="16" fillId="3" borderId="0" xfId="0" applyNumberFormat="1" applyFont="1" applyFill="1"/>
    <xf numFmtId="2" fontId="16" fillId="3" borderId="0" xfId="0" applyNumberFormat="1" applyFont="1" applyFill="1"/>
    <xf numFmtId="176" fontId="26" fillId="3" borderId="0" xfId="0" applyNumberFormat="1" applyFont="1" applyFill="1"/>
    <xf numFmtId="177" fontId="0" fillId="3" borderId="0" xfId="0" applyNumberFormat="1" applyFill="1"/>
    <xf numFmtId="0" fontId="35" fillId="3" borderId="0" xfId="0" applyFont="1" applyFill="1"/>
    <xf numFmtId="0" fontId="14" fillId="3" borderId="1" xfId="0" applyFont="1" applyFill="1" applyBorder="1" applyAlignment="1">
      <alignment horizontal="left" indent="3"/>
    </xf>
    <xf numFmtId="167" fontId="14" fillId="3" borderId="0" xfId="0" applyNumberFormat="1" applyFont="1" applyFill="1" applyAlignment="1">
      <alignment horizontal="right"/>
    </xf>
    <xf numFmtId="41" fontId="14" fillId="3" borderId="1" xfId="0" applyNumberFormat="1" applyFont="1" applyFill="1" applyBorder="1" applyAlignment="1">
      <alignment horizontal="right"/>
    </xf>
    <xf numFmtId="167" fontId="14" fillId="3" borderId="1" xfId="0" applyNumberFormat="1" applyFont="1" applyFill="1" applyBorder="1" applyAlignment="1">
      <alignment horizontal="right"/>
    </xf>
    <xf numFmtId="167" fontId="15" fillId="3" borderId="0" xfId="0" applyNumberFormat="1" applyFont="1" applyFill="1" applyAlignment="1">
      <alignment wrapText="1"/>
    </xf>
    <xf numFmtId="167" fontId="14" fillId="3" borderId="0" xfId="0" applyNumberFormat="1" applyFont="1" applyFill="1" applyAlignment="1">
      <alignment wrapText="1"/>
    </xf>
    <xf numFmtId="167" fontId="0" fillId="3" borderId="0" xfId="0" applyNumberFormat="1" applyFill="1"/>
    <xf numFmtId="164" fontId="37" fillId="3" borderId="0" xfId="0" applyNumberFormat="1" applyFont="1" applyFill="1"/>
    <xf numFmtId="178" fontId="0" fillId="3" borderId="0" xfId="0" applyNumberFormat="1" applyFill="1"/>
    <xf numFmtId="0" fontId="38" fillId="0" borderId="0" xfId="0" applyFont="1"/>
    <xf numFmtId="176" fontId="36" fillId="3" borderId="0" xfId="0" applyNumberFormat="1" applyFont="1" applyFill="1"/>
    <xf numFmtId="0" fontId="39" fillId="3" borderId="0" xfId="0" applyFont="1" applyFill="1"/>
    <xf numFmtId="0" fontId="40" fillId="3" borderId="0" xfId="0" applyFont="1" applyFill="1"/>
    <xf numFmtId="166" fontId="26" fillId="3" borderId="0" xfId="0" applyNumberFormat="1" applyFont="1" applyFill="1"/>
    <xf numFmtId="41" fontId="0" fillId="3" borderId="0" xfId="0" applyNumberFormat="1" applyFill="1"/>
    <xf numFmtId="17" fontId="15" fillId="3" borderId="0" xfId="0" applyNumberFormat="1" applyFont="1" applyFill="1" applyAlignment="1">
      <alignment horizontal="center" vertical="center" wrapText="1"/>
    </xf>
    <xf numFmtId="17" fontId="15" fillId="3" borderId="1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wrapText="1"/>
    </xf>
  </cellXfs>
  <cellStyles count="5">
    <cellStyle name="Hiperligação" xfId="2" builtinId="8"/>
    <cellStyle name="Normal" xfId="0" builtinId="0"/>
    <cellStyle name="Normal 2 2" xfId="1" xr:uid="{00000000-0005-0000-0000-000002000000}"/>
    <cellStyle name="Percentagem" xfId="3" builtinId="5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.4!A1"/><Relationship Id="rId3" Type="http://schemas.openxmlformats.org/officeDocument/2006/relationships/hyperlink" Target="#A.2!A1"/><Relationship Id="rId7" Type="http://schemas.openxmlformats.org/officeDocument/2006/relationships/hyperlink" Target="#C.3!A1"/><Relationship Id="rId2" Type="http://schemas.openxmlformats.org/officeDocument/2006/relationships/hyperlink" Target="#A.1!A1"/><Relationship Id="rId1" Type="http://schemas.openxmlformats.org/officeDocument/2006/relationships/image" Target="../media/image1.jpeg"/><Relationship Id="rId6" Type="http://schemas.openxmlformats.org/officeDocument/2006/relationships/hyperlink" Target="#C.2!A1"/><Relationship Id="rId11" Type="http://schemas.openxmlformats.org/officeDocument/2006/relationships/hyperlink" Target="#B.1!A1"/><Relationship Id="rId5" Type="http://schemas.openxmlformats.org/officeDocument/2006/relationships/hyperlink" Target="#C.1!A1"/><Relationship Id="rId10" Type="http://schemas.openxmlformats.org/officeDocument/2006/relationships/hyperlink" Target="#E.1!A1"/><Relationship Id="rId4" Type="http://schemas.openxmlformats.org/officeDocument/2006/relationships/hyperlink" Target="#A.3!A1"/><Relationship Id="rId9" Type="http://schemas.openxmlformats.org/officeDocument/2006/relationships/hyperlink" Target="#D.1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243208</xdr:colOff>
      <xdr:row>38</xdr:row>
      <xdr:rowOff>0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0" y="0"/>
          <a:ext cx="8223041" cy="7789333"/>
          <a:chOff x="5539331" y="0"/>
          <a:chExt cx="8393887" cy="8254822"/>
        </a:xfrm>
      </xdr:grpSpPr>
      <xdr:grpSp>
        <xdr:nvGrpSpPr>
          <xdr:cNvPr id="53" name="Grupo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GrpSpPr/>
        </xdr:nvGrpSpPr>
        <xdr:grpSpPr>
          <a:xfrm>
            <a:off x="5539331" y="0"/>
            <a:ext cx="8393887" cy="8254822"/>
            <a:chOff x="0" y="0"/>
            <a:chExt cx="8375473" cy="8102616"/>
          </a:xfrm>
        </xdr:grpSpPr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>
              <a:alphaModFix amt="20000"/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0"/>
              <a:ext cx="8097721" cy="810261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5" name="Grupo 54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GrpSpPr/>
          </xdr:nvGrpSpPr>
          <xdr:grpSpPr>
            <a:xfrm>
              <a:off x="1787936" y="2065357"/>
              <a:ext cx="6587537" cy="481206"/>
              <a:chOff x="8411018" y="1337955"/>
              <a:chExt cx="6829517" cy="511342"/>
            </a:xfrm>
          </xdr:grpSpPr>
          <xdr:sp macro="" textlink="">
            <xdr:nvSpPr>
              <xdr:cNvPr id="56" name="CaixaDeTexto 55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SpPr txBox="1"/>
            </xdr:nvSpPr>
            <xdr:spPr>
              <a:xfrm>
                <a:off x="8411018" y="1337955"/>
                <a:ext cx="6829517" cy="51134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pt-PT" sz="2040" b="1" u="none">
                    <a:solidFill>
                      <a:srgbClr val="002060"/>
                    </a:solidFill>
                    <a:latin typeface="+mn-lt"/>
                  </a:rPr>
                  <a:t>Estatísticas do Mercado de Valores Mobiliários</a:t>
                </a:r>
              </a:p>
            </xdr:txBody>
          </xdr:sp>
          <xdr:cxnSp macro="">
            <xdr:nvCxnSpPr>
              <xdr:cNvPr id="57" name="Conexão reta 56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CxnSpPr/>
            </xdr:nvCxnSpPr>
            <xdr:spPr>
              <a:xfrm>
                <a:off x="8452033" y="1712391"/>
                <a:ext cx="6242275" cy="1726"/>
              </a:xfrm>
              <a:prstGeom prst="line">
                <a:avLst/>
              </a:prstGeom>
              <a:ln>
                <a:solidFill>
                  <a:srgbClr val="00206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5" name="Grupo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GrpSpPr/>
        </xdr:nvGrpSpPr>
        <xdr:grpSpPr>
          <a:xfrm>
            <a:off x="7473071" y="2569225"/>
            <a:ext cx="5427141" cy="4095624"/>
            <a:chOff x="1745838" y="2604335"/>
            <a:chExt cx="5399328" cy="4015541"/>
          </a:xfrm>
        </xdr:grpSpPr>
        <xdr:sp macro="" textlink="">
          <xdr:nvSpPr>
            <xdr:cNvPr id="2" name="Retângulo arredondado 1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>
            <a:xfrm>
              <a:off x="1745838" y="2867025"/>
              <a:ext cx="4371975" cy="17145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Obrigações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- novas emissões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6" name="Retângulo arredondado 5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1750594" y="3056952"/>
              <a:ext cx="4371974" cy="19580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A.2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Obrigações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- stock de emissões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8" name="Retângulo arredondado 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760119" y="3281905"/>
              <a:ext cx="4371974" cy="19271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A.3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9" name="Retângulo arredondado 8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1762124" y="4533900"/>
              <a:ext cx="4863276" cy="20999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C.1            Investimento nas novas emissões de títulos de dívida pública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0" name="Retângulo arredondado 9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1762124" y="4743450"/>
              <a:ext cx="4371974" cy="18749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C.2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primário - ações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1" name="Retângulo arredondado 10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1755106" y="4953000"/>
              <a:ext cx="4371974" cy="195514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C.3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primário - obrigações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2" name="Retângulo arredondado 11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1755607" y="5153025"/>
              <a:ext cx="4371974" cy="20203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C.4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secundário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3" name="Retângulo arredondado 12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1756609" y="5772149"/>
              <a:ext cx="5388557" cy="366254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D.1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Emitente empresariais por sector institucional e ramos de atividade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4" name="Retângulo arredondado 1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1759116" y="6400800"/>
              <a:ext cx="4369969" cy="219076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E.1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Rendimentos distribuídos e serviço da dívida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7" name="Retângulo arredondado 16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1753602" y="3895725"/>
              <a:ext cx="4371974" cy="20002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B.1            Transações no mercado secundário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767639" y="2604335"/>
              <a:ext cx="4014036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Mercado primário</a:t>
              </a:r>
            </a:p>
          </xdr:txBody>
        </xdr:sp>
        <xdr:sp macro="" textlink="">
          <xdr:nvSpPr>
            <xdr:cNvPr id="18" name="CaixaDeTexto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1776160" y="3652586"/>
              <a:ext cx="4376989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Mercado secundário</a:t>
              </a:r>
            </a:p>
          </xdr:txBody>
        </xdr:sp>
        <xdr:sp macro="" textlink="">
          <xdr:nvSpPr>
            <xdr:cNvPr id="19" name="CaixaDeTexto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1771148" y="4275721"/>
              <a:ext cx="1574132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Investimento</a:t>
              </a:r>
            </a:p>
          </xdr:txBody>
        </xdr:sp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1757111" y="5540541"/>
              <a:ext cx="1574132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Emitentes</a:t>
              </a:r>
            </a:p>
          </xdr:txBody>
        </xdr:sp>
        <xdr:sp macro="" textlink="">
          <xdr:nvSpPr>
            <xdr:cNvPr id="21" name="CaixaDeTexto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1770645" y="6165683"/>
              <a:ext cx="3477629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Eventos</a:t>
              </a:r>
              <a:r>
                <a:rPr lang="pt-PT" sz="1200" b="1" baseline="0">
                  <a:solidFill>
                    <a:srgbClr val="002060"/>
                  </a:solidFill>
                  <a:latin typeface="+mn-lt"/>
                </a:rPr>
                <a:t> corporativos</a:t>
              </a:r>
              <a:endParaRPr lang="pt-PT" sz="1200" b="1">
                <a:solidFill>
                  <a:srgbClr val="002060"/>
                </a:solidFill>
                <a:latin typeface="+mn-lt"/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514350</xdr:colOff>
      <xdr:row>0</xdr:row>
      <xdr:rowOff>76200</xdr:rowOff>
    </xdr:from>
    <xdr:to>
      <xdr:col>20</xdr:col>
      <xdr:colOff>195072</xdr:colOff>
      <xdr:row>5</xdr:row>
      <xdr:rowOff>23622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5" y="7620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495300</xdr:colOff>
      <xdr:row>0</xdr:row>
      <xdr:rowOff>66675</xdr:rowOff>
    </xdr:from>
    <xdr:to>
      <xdr:col>20</xdr:col>
      <xdr:colOff>176022</xdr:colOff>
      <xdr:row>5</xdr:row>
      <xdr:rowOff>14097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4325" y="666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561975</xdr:colOff>
      <xdr:row>0</xdr:row>
      <xdr:rowOff>85725</xdr:rowOff>
    </xdr:from>
    <xdr:to>
      <xdr:col>20</xdr:col>
      <xdr:colOff>242697</xdr:colOff>
      <xdr:row>5</xdr:row>
      <xdr:rowOff>33147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857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800100</xdr:colOff>
      <xdr:row>0</xdr:row>
      <xdr:rowOff>95250</xdr:rowOff>
    </xdr:from>
    <xdr:to>
      <xdr:col>20</xdr:col>
      <xdr:colOff>109347</xdr:colOff>
      <xdr:row>5</xdr:row>
      <xdr:rowOff>42672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952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533400</xdr:colOff>
      <xdr:row>0</xdr:row>
      <xdr:rowOff>66675</xdr:rowOff>
    </xdr:from>
    <xdr:to>
      <xdr:col>20</xdr:col>
      <xdr:colOff>214122</xdr:colOff>
      <xdr:row>5</xdr:row>
      <xdr:rowOff>4572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9175" y="666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533400</xdr:colOff>
      <xdr:row>0</xdr:row>
      <xdr:rowOff>95250</xdr:rowOff>
    </xdr:from>
    <xdr:to>
      <xdr:col>20</xdr:col>
      <xdr:colOff>214122</xdr:colOff>
      <xdr:row>5</xdr:row>
      <xdr:rowOff>42672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952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466725</xdr:colOff>
      <xdr:row>0</xdr:row>
      <xdr:rowOff>133350</xdr:rowOff>
    </xdr:from>
    <xdr:to>
      <xdr:col>20</xdr:col>
      <xdr:colOff>147447</xdr:colOff>
      <xdr:row>5</xdr:row>
      <xdr:rowOff>80772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0" y="1333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466725</xdr:colOff>
      <xdr:row>0</xdr:row>
      <xdr:rowOff>104775</xdr:rowOff>
    </xdr:from>
    <xdr:to>
      <xdr:col>20</xdr:col>
      <xdr:colOff>147447</xdr:colOff>
      <xdr:row>5</xdr:row>
      <xdr:rowOff>52197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0" y="1047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695325</xdr:colOff>
      <xdr:row>0</xdr:row>
      <xdr:rowOff>38100</xdr:rowOff>
    </xdr:from>
    <xdr:to>
      <xdr:col>20</xdr:col>
      <xdr:colOff>166497</xdr:colOff>
      <xdr:row>4</xdr:row>
      <xdr:rowOff>176022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7850" y="3810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542925</xdr:colOff>
      <xdr:row>0</xdr:row>
      <xdr:rowOff>133350</xdr:rowOff>
    </xdr:from>
    <xdr:to>
      <xdr:col>20</xdr:col>
      <xdr:colOff>223647</xdr:colOff>
      <xdr:row>5</xdr:row>
      <xdr:rowOff>80772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700" y="1333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cv.cv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AY221"/>
  <sheetViews>
    <sheetView tabSelected="1" topLeftCell="A7" zoomScale="90" zoomScaleNormal="90" zoomScaleSheetLayoutView="100" workbookViewId="0">
      <selection activeCell="R34" sqref="R34"/>
    </sheetView>
  </sheetViews>
  <sheetFormatPr defaultRowHeight="15" x14ac:dyDescent="0.25"/>
  <cols>
    <col min="1" max="1" width="9.140625" style="1" customWidth="1"/>
    <col min="2" max="13" width="9.140625" style="1"/>
    <col min="14" max="14" width="3.7109375" style="1" customWidth="1"/>
    <col min="15" max="51" width="9.140625" style="42"/>
    <col min="52" max="16384" width="9.140625" style="1"/>
  </cols>
  <sheetData>
    <row r="12" spans="4:10" ht="26.25" x14ac:dyDescent="0.4">
      <c r="D12" s="41"/>
    </row>
    <row r="14" spans="4:10" ht="17.100000000000001" customHeight="1" x14ac:dyDescent="0.25">
      <c r="D14" s="2"/>
      <c r="E14" s="3"/>
      <c r="F14" s="3"/>
      <c r="G14" s="3"/>
      <c r="H14" s="3"/>
      <c r="I14" s="3"/>
      <c r="J14" s="3"/>
    </row>
    <row r="15" spans="4:10" ht="17.100000000000001" customHeight="1" x14ac:dyDescent="0.25">
      <c r="D15" s="3"/>
      <c r="E15" s="3"/>
      <c r="F15" s="3"/>
      <c r="G15" s="3"/>
      <c r="H15" s="3"/>
      <c r="I15" s="3"/>
      <c r="J15" s="3"/>
    </row>
    <row r="16" spans="4:10" ht="17.100000000000001" customHeight="1" x14ac:dyDescent="0.25">
      <c r="D16" s="3"/>
      <c r="E16" s="3"/>
      <c r="F16" s="3"/>
      <c r="G16" s="3"/>
      <c r="H16" s="3"/>
      <c r="I16" s="3"/>
      <c r="J16" s="3"/>
    </row>
    <row r="17" spans="4:10" ht="17.100000000000001" customHeight="1" x14ac:dyDescent="0.25">
      <c r="D17" s="3"/>
      <c r="E17" s="3"/>
      <c r="F17" s="3"/>
      <c r="G17" s="3"/>
      <c r="H17" s="3"/>
      <c r="I17" s="3"/>
      <c r="J17" s="3"/>
    </row>
    <row r="18" spans="4:10" ht="17.100000000000001" customHeight="1" x14ac:dyDescent="0.25">
      <c r="D18" s="3"/>
      <c r="E18" s="3"/>
      <c r="F18" s="3"/>
      <c r="G18" s="3"/>
      <c r="H18" s="3"/>
      <c r="I18" s="3"/>
      <c r="J18" s="3"/>
    </row>
    <row r="19" spans="4:10" ht="17.100000000000001" customHeight="1" x14ac:dyDescent="0.25">
      <c r="D19" s="2"/>
      <c r="E19" s="3"/>
      <c r="F19" s="3"/>
      <c r="G19" s="3"/>
      <c r="H19" s="3"/>
      <c r="I19" s="3"/>
      <c r="J19" s="3"/>
    </row>
    <row r="20" spans="4:10" ht="17.100000000000001" customHeight="1" x14ac:dyDescent="0.25">
      <c r="D20" s="3"/>
      <c r="E20" s="3"/>
      <c r="F20" s="3"/>
      <c r="G20" s="3"/>
      <c r="H20" s="3"/>
      <c r="I20" s="3"/>
      <c r="J20" s="3"/>
    </row>
    <row r="21" spans="4:10" ht="17.100000000000001" customHeight="1" x14ac:dyDescent="0.25">
      <c r="D21" s="3"/>
      <c r="E21" s="3"/>
      <c r="F21" s="3"/>
      <c r="G21" s="3"/>
      <c r="H21" s="3"/>
      <c r="I21" s="3"/>
      <c r="J21" s="3"/>
    </row>
    <row r="22" spans="4:10" ht="17.100000000000001" customHeight="1" x14ac:dyDescent="0.25">
      <c r="D22" s="2"/>
      <c r="E22" s="3"/>
      <c r="F22" s="3"/>
      <c r="G22" s="3"/>
      <c r="H22" s="3"/>
      <c r="I22" s="3"/>
      <c r="J22" s="3"/>
    </row>
    <row r="23" spans="4:10" ht="17.100000000000001" customHeight="1" x14ac:dyDescent="0.25">
      <c r="D23" s="3"/>
      <c r="E23" s="3"/>
      <c r="F23" s="3"/>
      <c r="G23" s="3"/>
      <c r="H23" s="3"/>
      <c r="I23" s="3"/>
      <c r="J23" s="3"/>
    </row>
    <row r="24" spans="4:10" ht="17.100000000000001" customHeight="1" x14ac:dyDescent="0.25">
      <c r="D24" s="3"/>
      <c r="E24" s="3"/>
      <c r="F24" s="3"/>
      <c r="G24" s="3"/>
      <c r="H24" s="3"/>
      <c r="I24" s="3"/>
      <c r="J24" s="3"/>
    </row>
    <row r="25" spans="4:10" ht="17.100000000000001" customHeight="1" x14ac:dyDescent="0.25">
      <c r="D25" s="3"/>
      <c r="E25" s="3"/>
      <c r="F25" s="3"/>
      <c r="G25" s="3"/>
      <c r="H25" s="3"/>
      <c r="I25" s="3"/>
      <c r="J25" s="3"/>
    </row>
    <row r="26" spans="4:10" ht="17.100000000000001" customHeight="1" x14ac:dyDescent="0.25">
      <c r="D26" s="3"/>
      <c r="E26" s="3"/>
      <c r="F26" s="3"/>
      <c r="G26" s="3"/>
      <c r="H26" s="3"/>
      <c r="I26" s="3"/>
      <c r="J26" s="3"/>
    </row>
    <row r="27" spans="4:10" ht="17.100000000000001" customHeight="1" x14ac:dyDescent="0.25">
      <c r="D27" s="3"/>
      <c r="E27" s="3"/>
      <c r="F27" s="3"/>
      <c r="G27" s="3"/>
      <c r="H27" s="3"/>
      <c r="I27" s="3"/>
      <c r="J27" s="3"/>
    </row>
    <row r="28" spans="4:10" ht="17.100000000000001" customHeight="1" x14ac:dyDescent="0.25">
      <c r="D28" s="2"/>
      <c r="E28" s="3"/>
      <c r="F28" s="3"/>
      <c r="G28" s="3"/>
      <c r="H28" s="3"/>
      <c r="I28" s="3"/>
      <c r="J28" s="3"/>
    </row>
    <row r="29" spans="4:10" ht="17.100000000000001" customHeight="1" x14ac:dyDescent="0.25">
      <c r="D29" s="3"/>
      <c r="E29" s="3"/>
      <c r="F29" s="3"/>
      <c r="G29" s="3"/>
      <c r="H29" s="3"/>
      <c r="I29" s="3"/>
      <c r="J29" s="3"/>
    </row>
    <row r="30" spans="4:10" ht="17.100000000000001" customHeight="1" x14ac:dyDescent="0.25">
      <c r="D30" s="3"/>
      <c r="E30" s="3"/>
      <c r="F30" s="3"/>
      <c r="G30" s="3"/>
      <c r="H30" s="3"/>
      <c r="I30" s="3"/>
      <c r="J30" s="3"/>
    </row>
    <row r="31" spans="4:10" ht="17.100000000000001" customHeight="1" x14ac:dyDescent="0.25">
      <c r="D31" s="2"/>
      <c r="E31" s="3"/>
      <c r="F31" s="3"/>
      <c r="G31" s="3"/>
      <c r="H31" s="3"/>
      <c r="I31" s="3"/>
      <c r="J31" s="3"/>
    </row>
    <row r="32" spans="4:10" ht="17.100000000000001" customHeight="1" x14ac:dyDescent="0.25">
      <c r="D32" s="3"/>
      <c r="E32" s="3"/>
      <c r="F32" s="3"/>
      <c r="G32" s="3"/>
      <c r="H32" s="3"/>
      <c r="I32" s="3"/>
      <c r="J32" s="3"/>
    </row>
    <row r="39" spans="1:51" ht="15.75" x14ac:dyDescent="0.25">
      <c r="B39" s="5" t="s">
        <v>73</v>
      </c>
      <c r="C39" s="4"/>
      <c r="D39" s="4"/>
    </row>
    <row r="40" spans="1:51" x14ac:dyDescent="0.25">
      <c r="B40" s="6" t="s">
        <v>74</v>
      </c>
      <c r="C40" s="4"/>
      <c r="D40" s="4"/>
    </row>
    <row r="41" spans="1:51" x14ac:dyDescent="0.25">
      <c r="B41" s="6" t="s">
        <v>124</v>
      </c>
      <c r="C41" s="4"/>
      <c r="D41" s="4"/>
    </row>
    <row r="42" spans="1:51" s="9" customFormat="1" ht="12.75" x14ac:dyDescent="0.2">
      <c r="B42" s="7" t="s">
        <v>109</v>
      </c>
      <c r="C42" s="8"/>
      <c r="D42" s="8"/>
      <c r="O42" s="43"/>
      <c r="P42" s="43"/>
      <c r="Q42" s="43"/>
      <c r="R42" s="44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</row>
    <row r="43" spans="1:51" x14ac:dyDescent="0.25">
      <c r="B43" s="4"/>
      <c r="C43" s="4"/>
      <c r="D43" s="4"/>
    </row>
    <row r="44" spans="1:5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5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5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5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5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4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4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4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4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4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4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4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4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4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4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4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4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4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4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4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4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4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4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4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4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4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4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4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4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4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4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4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4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4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4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4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4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4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</row>
    <row r="90" spans="1:14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4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4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4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4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4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1:14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4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4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1:14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1:14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</row>
    <row r="101" spans="1:14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4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1:14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1:14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1:14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</row>
    <row r="106" spans="1:14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1:14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1:14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1:14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1:14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4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1:14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</row>
    <row r="113" spans="1:14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</row>
    <row r="114" spans="1:14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1:14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</row>
    <row r="116" spans="1:14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1:14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</row>
    <row r="118" spans="1:14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1:14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</row>
    <row r="120" spans="1:14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1:14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</row>
    <row r="122" spans="1:14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</row>
    <row r="123" spans="1:14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</row>
    <row r="124" spans="1:14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</row>
    <row r="125" spans="1:14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</row>
    <row r="126" spans="1:14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</row>
    <row r="127" spans="1:14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</row>
    <row r="128" spans="1:14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1:14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</row>
    <row r="130" spans="1:14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1:14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</row>
    <row r="132" spans="1:14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</row>
    <row r="133" spans="1:14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</row>
    <row r="134" spans="1:14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</row>
    <row r="135" spans="1:14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1:14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</row>
    <row r="137" spans="1:14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</row>
    <row r="138" spans="1:14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1:14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</row>
    <row r="140" spans="1:14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</row>
    <row r="141" spans="1:14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</row>
    <row r="142" spans="1:14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</row>
    <row r="143" spans="1:14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1:14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</row>
    <row r="145" spans="1:14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</row>
    <row r="146" spans="1:14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</row>
    <row r="147" spans="1:14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</row>
    <row r="148" spans="1:14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</row>
    <row r="149" spans="1:14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</row>
    <row r="150" spans="1:14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</row>
    <row r="151" spans="1:14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</row>
    <row r="152" spans="1:14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</row>
    <row r="153" spans="1:14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</row>
    <row r="154" spans="1:14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</row>
    <row r="155" spans="1:14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</row>
    <row r="156" spans="1:14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</row>
    <row r="157" spans="1:14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</row>
    <row r="158" spans="1:14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</row>
    <row r="159" spans="1:14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</row>
    <row r="160" spans="1:14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</row>
    <row r="161" spans="1:14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</row>
    <row r="162" spans="1:14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</row>
    <row r="163" spans="1:14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</row>
    <row r="164" spans="1:14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</row>
    <row r="165" spans="1:14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</row>
    <row r="166" spans="1:14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</row>
    <row r="167" spans="1:14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</row>
    <row r="168" spans="1:14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</row>
    <row r="169" spans="1:14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</row>
    <row r="170" spans="1:14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</row>
    <row r="171" spans="1:14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</row>
    <row r="172" spans="1:14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</row>
    <row r="173" spans="1:14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</row>
    <row r="174" spans="1:14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</row>
    <row r="175" spans="1:14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</row>
    <row r="176" spans="1:14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</row>
    <row r="177" spans="1:14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</row>
    <row r="178" spans="1:14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</row>
    <row r="179" spans="1:14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</row>
    <row r="180" spans="1:14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</row>
    <row r="181" spans="1:14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</row>
    <row r="182" spans="1:14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</row>
    <row r="183" spans="1:14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</row>
    <row r="184" spans="1:14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</row>
    <row r="185" spans="1:14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</row>
    <row r="186" spans="1:14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</row>
    <row r="187" spans="1:14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</row>
    <row r="188" spans="1:14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</row>
    <row r="189" spans="1:14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</row>
    <row r="190" spans="1:14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</row>
    <row r="191" spans="1:14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</row>
    <row r="192" spans="1:14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</row>
    <row r="193" spans="1:14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</row>
    <row r="194" spans="1:14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</row>
    <row r="195" spans="1:14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</row>
    <row r="196" spans="1:14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</row>
    <row r="197" spans="1:14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</row>
    <row r="198" spans="1:14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</row>
    <row r="199" spans="1:14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1:14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</row>
    <row r="201" spans="1:14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</row>
    <row r="202" spans="1:14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</row>
    <row r="203" spans="1:14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</row>
    <row r="204" spans="1:14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</row>
    <row r="205" spans="1:14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</row>
    <row r="206" spans="1:14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</row>
    <row r="207" spans="1:14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</row>
    <row r="208" spans="1:14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</row>
    <row r="209" spans="1:14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</row>
    <row r="210" spans="1:14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</row>
    <row r="211" spans="1:14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</row>
    <row r="212" spans="1:14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</row>
    <row r="213" spans="1:14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</row>
    <row r="214" spans="1:14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</row>
    <row r="215" spans="1:14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</row>
    <row r="216" spans="1:14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</row>
    <row r="217" spans="1:14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</row>
    <row r="218" spans="1:14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</row>
    <row r="219" spans="1:14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</row>
    <row r="220" spans="1:14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</row>
    <row r="221" spans="1:14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</row>
  </sheetData>
  <sheetProtection algorithmName="SHA-512" hashValue="cZg6Q57ptHILd9zlsbSR/9PNW52HLZDy9zsEHYDVvOxh9R9oTCcWQbh0ZZKvkFtRG9qmg44p3uRodc7yU1M2dw==" saltValue="sqF+ElE11pZZ3VHSXSeLBg==" spinCount="100000" sheet="1" objects="1" scenarios="1"/>
  <hyperlinks>
    <hyperlink ref="B42" r:id="rId1" display="http://www.bcv.cv/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Y44"/>
  <sheetViews>
    <sheetView workbookViewId="0">
      <pane xSplit="5" ySplit="5" topLeftCell="F6" activePane="bottomRight" state="frozen"/>
      <selection activeCell="R1" sqref="R1:R1048576"/>
      <selection pane="topRight" activeCell="R1" sqref="R1:R1048576"/>
      <selection pane="bottomLeft" activeCell="R1" sqref="R1:R1048576"/>
      <selection pane="bottomRight" activeCell="P38" sqref="O38:P38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134</v>
      </c>
    </row>
    <row r="4" spans="2:18" ht="15" customHeight="1" x14ac:dyDescent="0.25">
      <c r="B4" s="11"/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</row>
    <row r="5" spans="2:18" ht="15" customHeight="1" x14ac:dyDescent="0.25">
      <c r="B5" s="11"/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ht="15" customHeight="1" x14ac:dyDescent="0.25">
      <c r="B6" s="11"/>
      <c r="C6" s="55"/>
      <c r="D6" s="55"/>
      <c r="E6" s="55"/>
    </row>
    <row r="7" spans="2:18" ht="15" customHeight="1" x14ac:dyDescent="0.25">
      <c r="B7" s="13" t="s">
        <v>44</v>
      </c>
      <c r="C7" s="38">
        <f t="shared" ref="C7:G7" si="0">C8+C12</f>
        <v>1955.47</v>
      </c>
      <c r="D7" s="38">
        <v>1373.18</v>
      </c>
      <c r="E7" s="38">
        <v>8043.6140000000005</v>
      </c>
      <c r="F7" s="81">
        <f t="shared" si="0"/>
        <v>0</v>
      </c>
      <c r="G7" s="38">
        <f t="shared" si="0"/>
        <v>350</v>
      </c>
      <c r="H7" s="38">
        <f t="shared" ref="H7:I7" si="1">H8+H12</f>
        <v>0</v>
      </c>
      <c r="I7" s="38">
        <f t="shared" si="1"/>
        <v>0</v>
      </c>
      <c r="J7" s="38">
        <f t="shared" ref="J7:K7" si="2">J8+J12</f>
        <v>1973.335</v>
      </c>
      <c r="K7" s="38">
        <f t="shared" si="2"/>
        <v>0</v>
      </c>
      <c r="L7" s="38">
        <f t="shared" ref="L7:R7" si="3">L8+L12</f>
        <v>0</v>
      </c>
      <c r="M7" s="38">
        <f t="shared" si="3"/>
        <v>0</v>
      </c>
      <c r="N7" s="38">
        <f t="shared" si="3"/>
        <v>680</v>
      </c>
      <c r="O7" s="38">
        <f t="shared" si="3"/>
        <v>5040.2790000000005</v>
      </c>
      <c r="P7" s="38">
        <f t="shared" si="3"/>
        <v>320</v>
      </c>
      <c r="Q7" s="38">
        <f t="shared" si="3"/>
        <v>0</v>
      </c>
      <c r="R7" s="38">
        <f t="shared" si="3"/>
        <v>0</v>
      </c>
    </row>
    <row r="8" spans="2:18" s="79" customFormat="1" ht="15" customHeight="1" x14ac:dyDescent="0.25">
      <c r="B8" s="14" t="s">
        <v>11</v>
      </c>
      <c r="C8" s="37">
        <f t="shared" ref="C8:G8" si="4">C9+C10+C11</f>
        <v>1105.47</v>
      </c>
      <c r="D8" s="67">
        <v>0</v>
      </c>
      <c r="E8" s="37">
        <v>1000</v>
      </c>
      <c r="F8" s="67">
        <f t="shared" si="4"/>
        <v>0</v>
      </c>
      <c r="G8" s="67">
        <f t="shared" si="4"/>
        <v>0</v>
      </c>
      <c r="H8" s="67">
        <f t="shared" ref="H8:I8" si="5">H9+H10+H11</f>
        <v>0</v>
      </c>
      <c r="I8" s="67">
        <f t="shared" si="5"/>
        <v>0</v>
      </c>
      <c r="J8" s="67">
        <f t="shared" ref="J8:K8" si="6">J9+J10+J11</f>
        <v>0</v>
      </c>
      <c r="K8" s="67">
        <f t="shared" si="6"/>
        <v>0</v>
      </c>
      <c r="L8" s="67">
        <f t="shared" ref="L8:P8" si="7">L9+L10+L11</f>
        <v>0</v>
      </c>
      <c r="M8" s="67">
        <f t="shared" si="7"/>
        <v>0</v>
      </c>
      <c r="N8" s="67">
        <f t="shared" si="7"/>
        <v>0</v>
      </c>
      <c r="O8" s="37">
        <f t="shared" si="7"/>
        <v>1000</v>
      </c>
      <c r="P8" s="67">
        <f t="shared" si="7"/>
        <v>0</v>
      </c>
      <c r="Q8" s="67">
        <f t="shared" ref="Q8:R8" si="8">Q9+Q10+Q11</f>
        <v>0</v>
      </c>
      <c r="R8" s="67">
        <f t="shared" si="8"/>
        <v>0</v>
      </c>
    </row>
    <row r="9" spans="2:18" ht="15" customHeight="1" x14ac:dyDescent="0.25">
      <c r="B9" s="15" t="s">
        <v>9</v>
      </c>
      <c r="C9" s="36">
        <v>1105.47</v>
      </c>
      <c r="D9" s="68">
        <v>0</v>
      </c>
      <c r="E9" s="36">
        <v>1000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36">
        <v>1000</v>
      </c>
      <c r="P9" s="68">
        <v>0</v>
      </c>
      <c r="Q9" s="68">
        <v>0</v>
      </c>
      <c r="R9" s="68">
        <v>0</v>
      </c>
    </row>
    <row r="10" spans="2:18" ht="15" customHeight="1" x14ac:dyDescent="0.25">
      <c r="B10" s="15" t="s">
        <v>63</v>
      </c>
      <c r="C10" s="68">
        <v>0</v>
      </c>
      <c r="D10" s="68">
        <v>0</v>
      </c>
      <c r="E10" s="36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</row>
    <row r="11" spans="2:18" ht="15" customHeight="1" x14ac:dyDescent="0.25">
      <c r="B11" s="15" t="s">
        <v>14</v>
      </c>
      <c r="C11" s="68">
        <v>0</v>
      </c>
      <c r="D11" s="68">
        <v>0</v>
      </c>
      <c r="E11" s="36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</row>
    <row r="12" spans="2:18" s="79" customFormat="1" ht="15" customHeight="1" x14ac:dyDescent="0.25">
      <c r="B12" s="14" t="s">
        <v>10</v>
      </c>
      <c r="C12" s="37">
        <f t="shared" ref="C12:G12" si="9">C13+C14+C15+C16+C17+C21+C22</f>
        <v>850</v>
      </c>
      <c r="D12" s="37">
        <v>1373.18</v>
      </c>
      <c r="E12" s="37">
        <v>7043.6139999999996</v>
      </c>
      <c r="F12" s="67">
        <f t="shared" si="9"/>
        <v>0</v>
      </c>
      <c r="G12" s="37">
        <f t="shared" si="9"/>
        <v>350</v>
      </c>
      <c r="H12" s="37">
        <f t="shared" ref="H12:I12" si="10">H13+H14+H15+H16+H17+H21+H22</f>
        <v>0</v>
      </c>
      <c r="I12" s="37">
        <f t="shared" si="10"/>
        <v>0</v>
      </c>
      <c r="J12" s="37">
        <f t="shared" ref="J12:K12" si="11">J13+J14+J15+J16+J17+J21+J22</f>
        <v>1973.335</v>
      </c>
      <c r="K12" s="37">
        <f t="shared" si="11"/>
        <v>0</v>
      </c>
      <c r="L12" s="37">
        <f t="shared" ref="L12:R12" si="12">L13+L14+L15+L16+L17+L21+L22</f>
        <v>0</v>
      </c>
      <c r="M12" s="37">
        <f t="shared" si="12"/>
        <v>0</v>
      </c>
      <c r="N12" s="37">
        <f t="shared" si="12"/>
        <v>680</v>
      </c>
      <c r="O12" s="37">
        <f t="shared" si="12"/>
        <v>4040.279</v>
      </c>
      <c r="P12" s="37">
        <f t="shared" si="12"/>
        <v>320</v>
      </c>
      <c r="Q12" s="37">
        <f t="shared" si="12"/>
        <v>0</v>
      </c>
      <c r="R12" s="37">
        <f t="shared" si="12"/>
        <v>0</v>
      </c>
    </row>
    <row r="13" spans="2:18" ht="15" customHeight="1" x14ac:dyDescent="0.25">
      <c r="B13" s="15" t="s">
        <v>113</v>
      </c>
      <c r="C13" s="68">
        <v>0</v>
      </c>
      <c r="D13" s="68">
        <v>0</v>
      </c>
      <c r="E13" s="36">
        <v>680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36">
        <v>680</v>
      </c>
      <c r="O13" s="36">
        <v>0</v>
      </c>
      <c r="P13" s="36">
        <v>320</v>
      </c>
      <c r="Q13" s="68">
        <v>0</v>
      </c>
      <c r="R13" s="68">
        <v>0</v>
      </c>
    </row>
    <row r="14" spans="2:18" ht="14.25" customHeight="1" x14ac:dyDescent="0.25">
      <c r="B14" s="15" t="s">
        <v>38</v>
      </c>
      <c r="C14" s="36">
        <v>500</v>
      </c>
      <c r="D14" s="36">
        <v>50</v>
      </c>
      <c r="E14" s="36">
        <v>1798.335</v>
      </c>
      <c r="F14" s="68">
        <v>0</v>
      </c>
      <c r="G14" s="68">
        <v>0</v>
      </c>
      <c r="H14" s="68">
        <v>0</v>
      </c>
      <c r="I14" s="68">
        <v>0</v>
      </c>
      <c r="J14" s="36">
        <v>1798.335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</row>
    <row r="15" spans="2:18" ht="15" customHeight="1" x14ac:dyDescent="0.25">
      <c r="B15" s="15" t="s">
        <v>39</v>
      </c>
      <c r="C15" s="68">
        <v>0</v>
      </c>
      <c r="D15" s="68">
        <v>0</v>
      </c>
      <c r="E15" s="36">
        <v>700</v>
      </c>
      <c r="F15" s="68">
        <v>0</v>
      </c>
      <c r="G15" s="36">
        <v>350</v>
      </c>
      <c r="H15" s="36">
        <v>0</v>
      </c>
      <c r="I15" s="36">
        <v>0</v>
      </c>
      <c r="J15" s="36">
        <v>175</v>
      </c>
      <c r="K15" s="36">
        <v>0</v>
      </c>
      <c r="L15" s="36">
        <v>0</v>
      </c>
      <c r="M15" s="36">
        <v>0</v>
      </c>
      <c r="N15" s="36">
        <v>0</v>
      </c>
      <c r="O15" s="36">
        <v>175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15" t="s">
        <v>40</v>
      </c>
      <c r="C16" s="36">
        <v>350</v>
      </c>
      <c r="D16" s="68">
        <v>0</v>
      </c>
      <c r="E16" s="36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</row>
    <row r="17" spans="2:25" ht="15" customHeight="1" x14ac:dyDescent="0.25">
      <c r="B17" s="15" t="s">
        <v>88</v>
      </c>
      <c r="C17" s="68">
        <v>0</v>
      </c>
      <c r="D17" s="68">
        <v>0</v>
      </c>
      <c r="E17" s="36">
        <v>3865.279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36">
        <v>3865.279</v>
      </c>
      <c r="P17" s="68">
        <v>0</v>
      </c>
      <c r="Q17" s="68">
        <v>0</v>
      </c>
      <c r="R17" s="68">
        <v>0</v>
      </c>
    </row>
    <row r="18" spans="2:25" ht="15" customHeight="1" x14ac:dyDescent="0.25">
      <c r="B18" s="51" t="s">
        <v>13</v>
      </c>
      <c r="C18" s="80"/>
      <c r="D18" s="80"/>
      <c r="E18" s="36"/>
      <c r="F18" s="80"/>
      <c r="G18" s="80"/>
      <c r="H18" s="80"/>
      <c r="I18" s="80"/>
      <c r="J18" s="80"/>
      <c r="K18" s="80"/>
      <c r="L18" s="80"/>
      <c r="M18" s="80"/>
      <c r="N18" s="80"/>
      <c r="O18" s="36"/>
      <c r="P18" s="80"/>
      <c r="Q18" s="80"/>
      <c r="R18" s="80"/>
    </row>
    <row r="19" spans="2:25" ht="15" customHeight="1" x14ac:dyDescent="0.25">
      <c r="B19" s="24" t="s">
        <v>41</v>
      </c>
      <c r="C19" s="68">
        <v>0</v>
      </c>
      <c r="D19" s="68">
        <v>0</v>
      </c>
      <c r="E19" s="36">
        <v>3865.279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36">
        <f>657.956+3207.323</f>
        <v>3865.279</v>
      </c>
      <c r="P19" s="68">
        <v>0</v>
      </c>
      <c r="Q19" s="68">
        <v>0</v>
      </c>
      <c r="R19" s="68">
        <v>0</v>
      </c>
    </row>
    <row r="20" spans="2:25" ht="15" customHeight="1" x14ac:dyDescent="0.25">
      <c r="B20" s="52" t="s">
        <v>42</v>
      </c>
      <c r="C20" s="68">
        <v>0</v>
      </c>
      <c r="D20" s="68">
        <v>0</v>
      </c>
      <c r="E20" s="36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</row>
    <row r="21" spans="2:25" ht="15" customHeight="1" x14ac:dyDescent="0.25">
      <c r="B21" s="15" t="s">
        <v>64</v>
      </c>
      <c r="C21" s="68">
        <v>0</v>
      </c>
      <c r="D21" s="68">
        <v>0</v>
      </c>
      <c r="E21" s="36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</row>
    <row r="22" spans="2:25" ht="15" customHeight="1" x14ac:dyDescent="0.25">
      <c r="B22" s="15" t="s">
        <v>43</v>
      </c>
      <c r="C22" s="68">
        <v>0</v>
      </c>
      <c r="D22" s="36">
        <v>1323.18</v>
      </c>
      <c r="E22" s="36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</row>
    <row r="23" spans="2:25" ht="15" customHeight="1" x14ac:dyDescent="0.25">
      <c r="B23" s="11"/>
      <c r="C23" s="68"/>
      <c r="D23" s="68"/>
      <c r="E23" s="36"/>
      <c r="F23" s="68"/>
      <c r="G23" s="68"/>
      <c r="H23" s="68"/>
      <c r="I23" s="68"/>
      <c r="J23" s="106"/>
      <c r="K23" s="106"/>
      <c r="L23" s="119">
        <f>L24-K24+E.1!L28+E.1!L29-A.1!L25-E.1!L23+E.1!K23</f>
        <v>1.5916157281026244E-12</v>
      </c>
      <c r="M23" s="119">
        <f>M24-L24+E.1!M28+E.1!M29-A.1!M25-E.1!M23+E.1!L23</f>
        <v>2.0614014601960662E-6</v>
      </c>
      <c r="N23" s="119">
        <f>N24-M24+E.1!N28+E.1!N29-A.1!N25-E.1!N23+E.1!M23</f>
        <v>-9.9999851954635233E-7</v>
      </c>
      <c r="O23" s="119">
        <f>O24-N24+E.1!O28+E.1!O29-A.1!O25-E.1!O23+E.1!N23</f>
        <v>10.450000000002092</v>
      </c>
      <c r="P23" s="119">
        <f>P24-O24+E.1!P28+E.1!P29-A.1!P25-E.1!P23+E.1!O23</f>
        <v>-1.0000024985856726E-6</v>
      </c>
      <c r="Q23" s="119">
        <f>Q24-P24+E.1!Q28+E.1!Q29-A.1!Q25-E.1!Q23+E.1!P23</f>
        <v>9.9999988378840499E-6</v>
      </c>
      <c r="R23" s="119">
        <f>R24-Q24+E.1!R28+E.1!R29-A.1!R25-E.1!R23+E.1!Q23</f>
        <v>-1.5916157281026244E-12</v>
      </c>
    </row>
    <row r="24" spans="2:25" ht="15" customHeight="1" x14ac:dyDescent="0.25">
      <c r="B24" s="13" t="s">
        <v>45</v>
      </c>
      <c r="C24" s="38">
        <v>16215.685981730094</v>
      </c>
      <c r="D24" s="38">
        <f>D25+D29</f>
        <v>16200.999481615716</v>
      </c>
      <c r="E24" s="38">
        <v>18404.798808000003</v>
      </c>
      <c r="F24" s="38">
        <f t="shared" ref="F24:H24" si="13">F25+F29</f>
        <v>15789.087888563085</v>
      </c>
      <c r="G24" s="38">
        <f t="shared" si="13"/>
        <v>16121.7801959477</v>
      </c>
      <c r="H24" s="38">
        <f t="shared" si="13"/>
        <v>16075.705196280702</v>
      </c>
      <c r="I24" s="38">
        <f t="shared" ref="I24:J24" si="14">I25+I29</f>
        <v>16055.705196280702</v>
      </c>
      <c r="J24" s="38">
        <f t="shared" si="14"/>
        <v>16074.597196780704</v>
      </c>
      <c r="K24" s="38">
        <f t="shared" ref="K24:O24" si="15">K25+K29</f>
        <v>16001.252459938596</v>
      </c>
      <c r="L24" s="38">
        <f>L25+L29</f>
        <v>15800.784321938598</v>
      </c>
      <c r="M24" s="38">
        <f t="shared" si="15"/>
        <v>15783.476629999999</v>
      </c>
      <c r="N24" s="38">
        <f t="shared" si="15"/>
        <v>16237.796630000001</v>
      </c>
      <c r="O24" s="38">
        <f t="shared" si="15"/>
        <v>18404.798808000003</v>
      </c>
      <c r="P24" s="38">
        <f>P25+P29</f>
        <v>18667.903576000001</v>
      </c>
      <c r="Q24" s="38">
        <f t="shared" ref="Q24:R24" si="16">Q25+Q29</f>
        <v>18574.075887999999</v>
      </c>
      <c r="R24" s="38">
        <f t="shared" si="16"/>
        <v>18360.281522999998</v>
      </c>
      <c r="T24" s="40"/>
    </row>
    <row r="25" spans="2:25" ht="15" customHeight="1" x14ac:dyDescent="0.25">
      <c r="B25" s="14" t="s">
        <v>11</v>
      </c>
      <c r="C25" s="37">
        <v>5722.9264102564102</v>
      </c>
      <c r="D25" s="37">
        <v>5225.2610256157177</v>
      </c>
      <c r="E25" s="37">
        <v>3174.7123070000002</v>
      </c>
      <c r="F25" s="37">
        <f t="shared" ref="F25" si="17">SUM(F26:F28)</f>
        <v>5208.1443586157175</v>
      </c>
      <c r="G25" s="37">
        <f t="shared" ref="G25:H25" si="18">SUM(G26:G28)</f>
        <v>5190.836666000333</v>
      </c>
      <c r="H25" s="37">
        <f t="shared" si="18"/>
        <v>5144.7616663333338</v>
      </c>
      <c r="I25" s="37">
        <f t="shared" ref="I25:J25" si="19">SUM(I26:I28)</f>
        <v>5144.7616663333338</v>
      </c>
      <c r="J25" s="37">
        <f t="shared" si="19"/>
        <v>5144.7616663333338</v>
      </c>
      <c r="K25" s="37">
        <f t="shared" ref="K25:M25" si="20">SUM(K26:K28)</f>
        <v>5134.3116663333331</v>
      </c>
      <c r="L25" s="37">
        <f t="shared" si="20"/>
        <v>5127.6449993333335</v>
      </c>
      <c r="M25" s="37">
        <f t="shared" si="20"/>
        <v>5110.3373069999998</v>
      </c>
      <c r="N25" s="37">
        <f>SUM(N26:N28)</f>
        <v>5074.7123069999998</v>
      </c>
      <c r="O25" s="37">
        <f>SUM(O26:O28)</f>
        <v>3174.7123070000002</v>
      </c>
      <c r="P25" s="37">
        <f>SUM(P26:P28)</f>
        <v>3174.7123070000002</v>
      </c>
      <c r="Q25" s="37">
        <f t="shared" ref="Q25:R25" si="21">SUM(Q26:Q28)</f>
        <v>3164.262307</v>
      </c>
      <c r="R25" s="37">
        <f t="shared" si="21"/>
        <v>3157.59564</v>
      </c>
      <c r="T25" s="40"/>
    </row>
    <row r="26" spans="2:25" ht="15" customHeight="1" x14ac:dyDescent="0.25">
      <c r="B26" s="15" t="s">
        <v>9</v>
      </c>
      <c r="C26" s="36">
        <v>5002.67</v>
      </c>
      <c r="D26" s="36">
        <v>4610.87</v>
      </c>
      <c r="E26" s="36">
        <v>2666.1866660000001</v>
      </c>
      <c r="F26" s="36">
        <v>4593.7533329999997</v>
      </c>
      <c r="G26" s="36">
        <v>4593.7533329999997</v>
      </c>
      <c r="H26" s="36">
        <v>4583.3033329999998</v>
      </c>
      <c r="I26" s="36">
        <v>4583.3033329999998</v>
      </c>
      <c r="J26" s="36">
        <v>4583.3033329999998</v>
      </c>
      <c r="K26" s="36">
        <v>4572.853333</v>
      </c>
      <c r="L26" s="36">
        <v>4566.1866659999996</v>
      </c>
      <c r="M26" s="36">
        <v>4566.1866659999996</v>
      </c>
      <c r="N26" s="36">
        <v>4566.1866659999996</v>
      </c>
      <c r="O26" s="36">
        <v>2666.1866660000001</v>
      </c>
      <c r="P26" s="36">
        <v>2666.1866660000001</v>
      </c>
      <c r="Q26" s="36">
        <v>2655.7366659999998</v>
      </c>
      <c r="R26" s="36">
        <v>2649.0699989999998</v>
      </c>
      <c r="T26" s="40"/>
      <c r="Y26" s="118"/>
    </row>
    <row r="27" spans="2:25" ht="15" customHeight="1" x14ac:dyDescent="0.25">
      <c r="B27" s="15" t="s">
        <v>63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T27" s="40"/>
    </row>
    <row r="28" spans="2:25" ht="15" customHeight="1" x14ac:dyDescent="0.25">
      <c r="B28" s="15" t="s">
        <v>14</v>
      </c>
      <c r="C28" s="36">
        <v>720.25641025641039</v>
      </c>
      <c r="D28" s="36">
        <v>614.39102600000001</v>
      </c>
      <c r="E28" s="36">
        <v>508.52564100000001</v>
      </c>
      <c r="F28" s="36">
        <v>614.39102561571769</v>
      </c>
      <c r="G28" s="36">
        <v>597.08333300033303</v>
      </c>
      <c r="H28" s="36">
        <v>561.45833333333348</v>
      </c>
      <c r="I28" s="36">
        <v>561.45833333333348</v>
      </c>
      <c r="J28" s="36">
        <v>561.45833333333348</v>
      </c>
      <c r="K28" s="36">
        <v>561.45833333333348</v>
      </c>
      <c r="L28" s="36">
        <v>561.45833333333348</v>
      </c>
      <c r="M28" s="36">
        <v>544.15064099999995</v>
      </c>
      <c r="N28" s="36">
        <v>508.52564100000001</v>
      </c>
      <c r="O28" s="36">
        <v>508.52564100000001</v>
      </c>
      <c r="P28" s="36">
        <v>508.52564100000001</v>
      </c>
      <c r="Q28" s="36">
        <v>508.52564100000001</v>
      </c>
      <c r="R28" s="36">
        <v>508.52564100000001</v>
      </c>
      <c r="T28" s="40"/>
    </row>
    <row r="29" spans="2:25" ht="15" customHeight="1" x14ac:dyDescent="0.25">
      <c r="B29" s="14" t="s">
        <v>10</v>
      </c>
      <c r="C29" s="37">
        <f t="shared" ref="C29:H29" si="22">+C31+C32+C33+C34+C38+C39</f>
        <v>10492.759571473684</v>
      </c>
      <c r="D29" s="37">
        <f>+D31+D32+D33+D34+D38+D39</f>
        <v>10975.738455999999</v>
      </c>
      <c r="E29" s="37">
        <v>15230.086501000002</v>
      </c>
      <c r="F29" s="37">
        <f t="shared" si="22"/>
        <v>10580.943529947368</v>
      </c>
      <c r="G29" s="37">
        <f t="shared" si="22"/>
        <v>10930.943529947368</v>
      </c>
      <c r="H29" s="37">
        <f t="shared" si="22"/>
        <v>10930.943529947368</v>
      </c>
      <c r="I29" s="37">
        <f t="shared" ref="I29:J29" si="23">+I31+I32+I33+I34+I38+I39</f>
        <v>10910.943529947368</v>
      </c>
      <c r="J29" s="37">
        <f t="shared" si="23"/>
        <v>10929.83553044737</v>
      </c>
      <c r="K29" s="37">
        <f t="shared" ref="K29:M29" si="24">+K31+K32+K33+K34+K38+K39</f>
        <v>10866.940793605263</v>
      </c>
      <c r="L29" s="37">
        <f t="shared" si="24"/>
        <v>10673.139322605264</v>
      </c>
      <c r="M29" s="37">
        <f t="shared" si="24"/>
        <v>10673.139322999999</v>
      </c>
      <c r="N29" s="37">
        <f>+N30+N31+N32+N33+N34+N38+N39</f>
        <v>11163.084323000001</v>
      </c>
      <c r="O29" s="37">
        <f>+O30+O31+O32+O33+O34+O38+O39</f>
        <v>15230.086501000002</v>
      </c>
      <c r="P29" s="37">
        <f>+P30+P31+P32+P33+P34+P38+P39</f>
        <v>15493.191268999999</v>
      </c>
      <c r="Q29" s="37">
        <f t="shared" ref="Q29:R29" si="25">+Q30+Q31+Q32+Q33+Q34+Q38+Q39</f>
        <v>15409.813580999999</v>
      </c>
      <c r="R29" s="37">
        <f t="shared" si="25"/>
        <v>15202.685882999998</v>
      </c>
      <c r="T29" s="40"/>
    </row>
    <row r="30" spans="2:25" ht="15" customHeight="1" x14ac:dyDescent="0.25">
      <c r="B30" s="15" t="s">
        <v>113</v>
      </c>
      <c r="C30" s="68">
        <v>0</v>
      </c>
      <c r="D30" s="68">
        <v>0</v>
      </c>
      <c r="E30" s="36">
        <v>680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36">
        <v>680</v>
      </c>
      <c r="O30" s="36">
        <v>680</v>
      </c>
      <c r="P30" s="36">
        <v>1000</v>
      </c>
      <c r="Q30" s="36">
        <v>1000</v>
      </c>
      <c r="R30" s="36">
        <v>1000</v>
      </c>
      <c r="T30" s="40"/>
    </row>
    <row r="31" spans="2:25" ht="15" customHeight="1" x14ac:dyDescent="0.25">
      <c r="B31" s="15" t="s">
        <v>38</v>
      </c>
      <c r="C31" s="36">
        <v>5007.5749999999998</v>
      </c>
      <c r="D31" s="36">
        <v>4937.3389999999999</v>
      </c>
      <c r="E31" s="36">
        <v>4800.0630000000001</v>
      </c>
      <c r="F31" s="36">
        <v>4877.2209999999995</v>
      </c>
      <c r="G31" s="36">
        <v>4877.2209999999995</v>
      </c>
      <c r="H31" s="36">
        <v>4877.2209999999995</v>
      </c>
      <c r="I31" s="36">
        <v>4877.2209999999995</v>
      </c>
      <c r="J31" s="36">
        <v>4798.9380000000001</v>
      </c>
      <c r="K31" s="36">
        <v>4798.9380000000001</v>
      </c>
      <c r="L31" s="36">
        <v>4800.0630000000001</v>
      </c>
      <c r="M31" s="36">
        <v>4800.0630000000001</v>
      </c>
      <c r="N31" s="36">
        <v>4800.0630000000001</v>
      </c>
      <c r="O31" s="36">
        <v>4800.0630000000001</v>
      </c>
      <c r="P31" s="36">
        <v>4739.9449999999997</v>
      </c>
      <c r="Q31" s="36">
        <v>4724.9449999999997</v>
      </c>
      <c r="R31" s="36">
        <v>4724.9449999999997</v>
      </c>
      <c r="T31" s="40"/>
    </row>
    <row r="32" spans="2:25" ht="15" customHeight="1" x14ac:dyDescent="0.25">
      <c r="B32" s="15" t="s">
        <v>39</v>
      </c>
      <c r="C32" s="36">
        <v>1190</v>
      </c>
      <c r="D32" s="36">
        <v>850</v>
      </c>
      <c r="E32" s="36">
        <v>1210</v>
      </c>
      <c r="F32" s="36">
        <v>680</v>
      </c>
      <c r="G32" s="36">
        <v>1030</v>
      </c>
      <c r="H32" s="36">
        <v>1030</v>
      </c>
      <c r="I32" s="36">
        <v>1030</v>
      </c>
      <c r="J32" s="36">
        <v>1205</v>
      </c>
      <c r="K32" s="36">
        <v>1205</v>
      </c>
      <c r="L32" s="36">
        <v>1035</v>
      </c>
      <c r="M32" s="36">
        <v>1035</v>
      </c>
      <c r="N32" s="36">
        <v>1035</v>
      </c>
      <c r="O32" s="36">
        <v>1210</v>
      </c>
      <c r="P32" s="36">
        <v>1210</v>
      </c>
      <c r="Q32" s="36">
        <v>1210</v>
      </c>
      <c r="R32" s="36">
        <v>1040</v>
      </c>
      <c r="T32" s="40"/>
    </row>
    <row r="33" spans="2:20" ht="15" customHeight="1" x14ac:dyDescent="0.25">
      <c r="B33" s="15" t="s">
        <v>40</v>
      </c>
      <c r="C33" s="36">
        <v>1597.859633</v>
      </c>
      <c r="D33" s="36">
        <v>1422.859633</v>
      </c>
      <c r="E33" s="36">
        <v>1247.859633</v>
      </c>
      <c r="F33" s="36">
        <v>1335.359633</v>
      </c>
      <c r="G33" s="36">
        <v>1335.359633</v>
      </c>
      <c r="H33" s="36">
        <v>1335.359633</v>
      </c>
      <c r="I33" s="36">
        <v>1335.359633</v>
      </c>
      <c r="J33" s="36">
        <v>1247.859633</v>
      </c>
      <c r="K33" s="36">
        <v>1247.859633</v>
      </c>
      <c r="L33" s="36">
        <v>1247.859633</v>
      </c>
      <c r="M33" s="36">
        <v>1247.859633</v>
      </c>
      <c r="N33" s="36">
        <v>1247.859633</v>
      </c>
      <c r="O33" s="36">
        <v>1247.859633</v>
      </c>
      <c r="P33" s="36">
        <v>1247.859633</v>
      </c>
      <c r="Q33" s="36">
        <v>1247.859633</v>
      </c>
      <c r="R33" s="36">
        <v>1247.859633</v>
      </c>
      <c r="T33" s="40"/>
    </row>
    <row r="34" spans="2:20" s="33" customFormat="1" ht="15" customHeight="1" x14ac:dyDescent="0.25">
      <c r="B34" s="15" t="s">
        <v>88</v>
      </c>
      <c r="C34" s="36">
        <v>2343.5749384736841</v>
      </c>
      <c r="D34" s="36">
        <v>2131.1098229999998</v>
      </c>
      <c r="E34" s="36">
        <v>5688.5106900000001</v>
      </c>
      <c r="F34" s="36">
        <v>2072.6828969473686</v>
      </c>
      <c r="G34" s="36">
        <v>2072.6828969473686</v>
      </c>
      <c r="H34" s="36">
        <v>2072.6828969473686</v>
      </c>
      <c r="I34" s="36">
        <v>2072.6828969473686</v>
      </c>
      <c r="J34" s="36">
        <v>2082.3578974473685</v>
      </c>
      <c r="K34" s="36">
        <v>2019.4631606052633</v>
      </c>
      <c r="L34" s="36">
        <v>2013.2866896052633</v>
      </c>
      <c r="M34" s="36">
        <v>2013.2866899999999</v>
      </c>
      <c r="N34" s="36">
        <v>1823.2316900000001</v>
      </c>
      <c r="O34" s="36">
        <v>5688.5106900000001</v>
      </c>
      <c r="P34" s="36">
        <v>5691.7334579999997</v>
      </c>
      <c r="Q34" s="36">
        <v>5623.3557700000001</v>
      </c>
      <c r="R34" s="36">
        <v>5604.9780719999999</v>
      </c>
      <c r="T34" s="40"/>
    </row>
    <row r="35" spans="2:20" ht="15" customHeight="1" x14ac:dyDescent="0.25">
      <c r="B35" s="15" t="s">
        <v>13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T35" s="40"/>
    </row>
    <row r="36" spans="2:20" ht="15" customHeight="1" x14ac:dyDescent="0.25">
      <c r="B36" s="24" t="s">
        <v>41</v>
      </c>
      <c r="C36" s="36">
        <v>400</v>
      </c>
      <c r="D36" s="36">
        <v>300</v>
      </c>
      <c r="E36" s="36">
        <v>4065.279</v>
      </c>
      <c r="F36" s="36">
        <v>250</v>
      </c>
      <c r="G36" s="36">
        <v>250</v>
      </c>
      <c r="H36" s="36">
        <v>250</v>
      </c>
      <c r="I36" s="36">
        <v>250</v>
      </c>
      <c r="J36" s="36">
        <v>250</v>
      </c>
      <c r="K36" s="36">
        <v>200</v>
      </c>
      <c r="L36" s="36">
        <v>200</v>
      </c>
      <c r="M36" s="36">
        <v>200</v>
      </c>
      <c r="N36" s="36">
        <v>200</v>
      </c>
      <c r="O36" s="36">
        <v>4065.279</v>
      </c>
      <c r="P36" s="36">
        <v>4059.796049</v>
      </c>
      <c r="Q36" s="36">
        <v>4004.3130980000001</v>
      </c>
      <c r="R36" s="36">
        <v>3998.8301369999999</v>
      </c>
      <c r="T36" s="40"/>
    </row>
    <row r="37" spans="2:20" ht="14.25" customHeight="1" x14ac:dyDescent="0.25">
      <c r="B37" s="24" t="s">
        <v>42</v>
      </c>
      <c r="C37" s="36">
        <v>1644.612091</v>
      </c>
      <c r="D37" s="36">
        <v>1570.289391</v>
      </c>
      <c r="E37" s="36">
        <v>1400.553674</v>
      </c>
      <c r="F37" s="36">
        <v>1580.933673</v>
      </c>
      <c r="G37" s="36">
        <v>1580.933673</v>
      </c>
      <c r="H37" s="36">
        <v>1580.933673</v>
      </c>
      <c r="I37" s="36">
        <v>1580.933673</v>
      </c>
      <c r="J37" s="36">
        <v>1590.6086734999999</v>
      </c>
      <c r="K37" s="36">
        <v>1590.6086734999999</v>
      </c>
      <c r="L37" s="36">
        <v>1590.6086734999999</v>
      </c>
      <c r="M37" s="36">
        <v>1590.6086740000001</v>
      </c>
      <c r="N37" s="36">
        <v>1400.553674</v>
      </c>
      <c r="O37" s="36">
        <v>1400.553674</v>
      </c>
      <c r="P37" s="36">
        <v>1409.259393</v>
      </c>
      <c r="Q37" s="36">
        <v>1409.259393</v>
      </c>
      <c r="R37" s="36">
        <v>1409.259393</v>
      </c>
      <c r="T37" s="40"/>
    </row>
    <row r="38" spans="2:20" ht="15" customHeight="1" x14ac:dyDescent="0.25">
      <c r="B38" s="15" t="s">
        <v>64</v>
      </c>
      <c r="C38" s="36">
        <v>353.75</v>
      </c>
      <c r="D38" s="36">
        <v>316.25</v>
      </c>
      <c r="E38" s="36">
        <v>266.52777800000001</v>
      </c>
      <c r="F38" s="36">
        <v>297.5</v>
      </c>
      <c r="G38" s="36">
        <v>297.5</v>
      </c>
      <c r="H38" s="36">
        <v>297.5</v>
      </c>
      <c r="I38" s="36">
        <v>297.5</v>
      </c>
      <c r="J38" s="36">
        <v>297.5</v>
      </c>
      <c r="K38" s="36">
        <v>297.5</v>
      </c>
      <c r="L38" s="36">
        <v>278.75</v>
      </c>
      <c r="M38" s="36">
        <v>278.75</v>
      </c>
      <c r="N38" s="36">
        <v>278.75</v>
      </c>
      <c r="O38" s="36">
        <v>266.52777800000001</v>
      </c>
      <c r="P38" s="36">
        <v>266.52777800000001</v>
      </c>
      <c r="Q38" s="36">
        <v>266.52777800000001</v>
      </c>
      <c r="R38" s="36">
        <v>247.77777800000001</v>
      </c>
      <c r="T38" s="40"/>
    </row>
    <row r="39" spans="2:20" ht="15" customHeight="1" x14ac:dyDescent="0.25">
      <c r="B39" s="21" t="s">
        <v>43</v>
      </c>
      <c r="C39" s="39">
        <v>0</v>
      </c>
      <c r="D39" s="39">
        <v>1318.18</v>
      </c>
      <c r="E39" s="39">
        <v>1337.1253999999999</v>
      </c>
      <c r="F39" s="39">
        <v>1318.18</v>
      </c>
      <c r="G39" s="39">
        <v>1318.18</v>
      </c>
      <c r="H39" s="39">
        <v>1318.18</v>
      </c>
      <c r="I39" s="39">
        <v>1298.18</v>
      </c>
      <c r="J39" s="39">
        <v>1298.18</v>
      </c>
      <c r="K39" s="39">
        <v>1298.18</v>
      </c>
      <c r="L39" s="39">
        <v>1298.18</v>
      </c>
      <c r="M39" s="39">
        <v>1298.18</v>
      </c>
      <c r="N39" s="39">
        <v>1298.18</v>
      </c>
      <c r="O39" s="39">
        <v>1337.1253999999999</v>
      </c>
      <c r="P39" s="39">
        <v>1337.1253999999999</v>
      </c>
      <c r="Q39" s="39">
        <v>1337.1253999999999</v>
      </c>
      <c r="R39" s="39">
        <v>1337.1253999999999</v>
      </c>
      <c r="T39" s="40"/>
    </row>
    <row r="40" spans="2:20" ht="15" customHeight="1" x14ac:dyDescent="0.25">
      <c r="B40" s="17" t="s">
        <v>111</v>
      </c>
      <c r="C40" s="11"/>
      <c r="D40" s="11"/>
      <c r="E40" s="11"/>
    </row>
    <row r="41" spans="2:20" ht="15" customHeight="1" x14ac:dyDescent="0.25">
      <c r="B41" s="17" t="s">
        <v>66</v>
      </c>
      <c r="C41" s="11"/>
      <c r="D41" s="11"/>
      <c r="E41" s="11"/>
    </row>
    <row r="42" spans="2:20" ht="15" customHeight="1" x14ac:dyDescent="0.25"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4" spans="2:20" ht="15" customHeight="1" x14ac:dyDescent="0.25"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</sheetData>
  <sheetProtection algorithmName="SHA-512" hashValue="Cj2/PENzs55jGcnZWtdLM7OxkNnl5hjSy8QmFniRa1SvXn0j7wdad3/4phchbN3uXTu5LIX3X3w/99n888TMCA==" saltValue="zhzm4o3HOPLNwpdx8tt4Kg==" spinCount="100000" sheet="1" objects="1" scenarios="1"/>
  <mergeCells count="16">
    <mergeCell ref="H4:H5"/>
    <mergeCell ref="J4:J5"/>
    <mergeCell ref="O4:O5"/>
    <mergeCell ref="N4:N5"/>
    <mergeCell ref="M4:M5"/>
    <mergeCell ref="I4:I5"/>
    <mergeCell ref="E4:E5"/>
    <mergeCell ref="C4:C5"/>
    <mergeCell ref="F4:F5"/>
    <mergeCell ref="D4:D5"/>
    <mergeCell ref="G4:G5"/>
    <mergeCell ref="L4:L5"/>
    <mergeCell ref="K4:K5"/>
    <mergeCell ref="Q4:Q5"/>
    <mergeCell ref="R4:R5"/>
    <mergeCell ref="P4:P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V43"/>
  <sheetViews>
    <sheetView workbookViewId="0">
      <pane xSplit="5" ySplit="5" topLeftCell="F6" activePane="bottomRight" state="frozen"/>
      <selection activeCell="R1" sqref="R1:R1048576"/>
      <selection pane="topRight" activeCell="R1" sqref="R1:R1048576"/>
      <selection pane="bottomLeft" activeCell="R1" sqref="R1:R1048576"/>
      <selection pane="bottomRight" activeCell="U29" sqref="U29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72</v>
      </c>
    </row>
    <row r="4" spans="2:18" ht="15" customHeight="1" x14ac:dyDescent="0.25">
      <c r="B4" s="11"/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</row>
    <row r="5" spans="2:18" ht="15" customHeight="1" x14ac:dyDescent="0.25">
      <c r="B5" s="11"/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ht="15" customHeight="1" x14ac:dyDescent="0.25">
      <c r="B6" s="11"/>
      <c r="C6" s="97"/>
      <c r="D6" s="97"/>
      <c r="E6" s="97"/>
    </row>
    <row r="7" spans="2:18" ht="15" customHeight="1" x14ac:dyDescent="0.25">
      <c r="B7" s="13" t="s">
        <v>76</v>
      </c>
      <c r="C7" s="38">
        <f>C8+C9</f>
        <v>3207.974569</v>
      </c>
      <c r="D7" s="38">
        <f t="shared" ref="D7:E7" si="0">D8+D9</f>
        <v>2603.5363709999997</v>
      </c>
      <c r="E7" s="38">
        <f t="shared" si="0"/>
        <v>3486.795674</v>
      </c>
      <c r="F7" s="38">
        <f t="shared" ref="F7:G7" si="1">F8+F9</f>
        <v>0</v>
      </c>
      <c r="G7" s="38">
        <f t="shared" si="1"/>
        <v>1000.06</v>
      </c>
      <c r="H7" s="38">
        <f t="shared" ref="H7:R7" si="2">H8+H9</f>
        <v>0</v>
      </c>
      <c r="I7" s="38">
        <f t="shared" si="2"/>
        <v>2486.735674</v>
      </c>
      <c r="J7" s="38">
        <f t="shared" si="2"/>
        <v>0</v>
      </c>
      <c r="K7" s="38">
        <f t="shared" si="2"/>
        <v>0</v>
      </c>
      <c r="L7" s="38">
        <f t="shared" si="2"/>
        <v>0</v>
      </c>
      <c r="M7" s="38">
        <f t="shared" si="2"/>
        <v>0</v>
      </c>
      <c r="N7" s="38">
        <f t="shared" si="2"/>
        <v>0</v>
      </c>
      <c r="O7" s="38">
        <f t="shared" si="2"/>
        <v>0</v>
      </c>
      <c r="P7" s="38">
        <f t="shared" si="2"/>
        <v>0</v>
      </c>
      <c r="Q7" s="38">
        <f t="shared" si="2"/>
        <v>0</v>
      </c>
      <c r="R7" s="38">
        <f t="shared" si="2"/>
        <v>0</v>
      </c>
    </row>
    <row r="8" spans="2:18" ht="16.5" customHeight="1" x14ac:dyDescent="0.25">
      <c r="B8" s="16" t="s">
        <v>11</v>
      </c>
      <c r="C8" s="36">
        <v>1962.204569</v>
      </c>
      <c r="D8" s="36">
        <v>2198.3763709999998</v>
      </c>
      <c r="E8" s="36">
        <v>2486.735674</v>
      </c>
      <c r="F8" s="36">
        <v>0</v>
      </c>
      <c r="G8" s="36">
        <v>0</v>
      </c>
      <c r="H8" s="36">
        <v>0</v>
      </c>
      <c r="I8" s="36">
        <v>2486.735674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</row>
    <row r="9" spans="2:18" ht="15" customHeight="1" x14ac:dyDescent="0.25">
      <c r="B9" s="16" t="s">
        <v>10</v>
      </c>
      <c r="C9" s="36">
        <v>1245.77</v>
      </c>
      <c r="D9" s="36">
        <v>405.16</v>
      </c>
      <c r="E9" s="36">
        <v>1000.06</v>
      </c>
      <c r="F9" s="36">
        <v>0</v>
      </c>
      <c r="G9" s="36">
        <v>1000.06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11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15" customHeight="1" x14ac:dyDescent="0.25">
      <c r="B11" s="13" t="s">
        <v>77</v>
      </c>
      <c r="C11" s="36">
        <v>0</v>
      </c>
      <c r="D11" s="36">
        <v>0</v>
      </c>
      <c r="E11" s="36"/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11"/>
      <c r="C12" s="36"/>
      <c r="D12" s="36"/>
      <c r="E12" s="36"/>
    </row>
    <row r="13" spans="2:18" ht="15" customHeight="1" x14ac:dyDescent="0.25">
      <c r="B13" s="13" t="s">
        <v>46</v>
      </c>
      <c r="C13" s="38">
        <v>3804.6260719999996</v>
      </c>
      <c r="D13" s="38">
        <v>3864.7107999999998</v>
      </c>
      <c r="E13" s="38">
        <f>E14+E15+E16+E17</f>
        <v>3670.4078374859623</v>
      </c>
      <c r="F13" s="38">
        <f t="shared" ref="F13:H13" si="3">F14+F15+F16+F17</f>
        <v>331.46809962500004</v>
      </c>
      <c r="G13" s="38">
        <f t="shared" si="3"/>
        <v>339.05879278846157</v>
      </c>
      <c r="H13" s="38">
        <f t="shared" si="3"/>
        <v>290.17703525000002</v>
      </c>
      <c r="I13" s="38">
        <f t="shared" ref="I13:J13" si="4">I14+I15+I16+I17</f>
        <v>296.02385050999999</v>
      </c>
      <c r="J13" s="38">
        <f t="shared" si="4"/>
        <v>379.20407393750003</v>
      </c>
      <c r="K13" s="38">
        <f t="shared" ref="K13:O13" si="5">K14+K15+K16+K17</f>
        <v>217.265598375</v>
      </c>
      <c r="L13" s="38">
        <f t="shared" si="5"/>
        <v>294.26659112499999</v>
      </c>
      <c r="M13" s="38">
        <f t="shared" si="5"/>
        <v>303.74434200000002</v>
      </c>
      <c r="N13" s="38">
        <f t="shared" si="5"/>
        <v>313.93202899999994</v>
      </c>
      <c r="O13" s="38">
        <f t="shared" si="5"/>
        <v>370.194053</v>
      </c>
      <c r="P13" s="38">
        <f>P14+P15+P16+P17</f>
        <v>400.02097100000003</v>
      </c>
      <c r="Q13" s="38">
        <f t="shared" ref="Q13:R13" si="6">Q14+Q15+Q16+Q17</f>
        <v>249.29805899999999</v>
      </c>
      <c r="R13" s="38">
        <f t="shared" si="6"/>
        <v>299.487236</v>
      </c>
    </row>
    <row r="14" spans="2:18" ht="15" customHeight="1" x14ac:dyDescent="0.25">
      <c r="B14" s="16" t="s">
        <v>47</v>
      </c>
      <c r="C14" s="36">
        <v>3179.6069739999998</v>
      </c>
      <c r="D14" s="88">
        <v>3142.8715269999998</v>
      </c>
      <c r="E14" s="36">
        <v>3071.2904186875003</v>
      </c>
      <c r="F14" s="36">
        <v>284.51167562500001</v>
      </c>
      <c r="G14" s="36">
        <v>329.89533125000003</v>
      </c>
      <c r="H14" s="36">
        <v>272.96614625000001</v>
      </c>
      <c r="I14" s="36">
        <v>225.78358625000001</v>
      </c>
      <c r="J14" s="36">
        <v>261.3242209375</v>
      </c>
      <c r="K14" s="36">
        <v>187.42110937499999</v>
      </c>
      <c r="L14" s="36">
        <v>252.92323812500001</v>
      </c>
      <c r="M14" s="36">
        <f>287.619342</f>
        <v>287.61934200000002</v>
      </c>
      <c r="N14" s="36">
        <v>262.67557099999999</v>
      </c>
      <c r="O14" s="36">
        <f>219.934649</f>
        <v>219.93464900000001</v>
      </c>
      <c r="P14" s="36">
        <v>308.327943</v>
      </c>
      <c r="Q14" s="36">
        <v>200.46610899999999</v>
      </c>
      <c r="R14" s="36">
        <v>238.483238</v>
      </c>
    </row>
    <row r="15" spans="2:18" ht="15" customHeight="1" x14ac:dyDescent="0.25">
      <c r="B15" s="16" t="s">
        <v>48</v>
      </c>
      <c r="C15" s="36">
        <v>65.376479000000003</v>
      </c>
      <c r="D15" s="36">
        <v>73.083905000000001</v>
      </c>
      <c r="E15" s="36">
        <v>58.946514260000001</v>
      </c>
      <c r="F15" s="36">
        <v>11.649806</v>
      </c>
      <c r="G15" s="36">
        <v>2.5</v>
      </c>
      <c r="H15" s="36">
        <v>6.4400000000000013</v>
      </c>
      <c r="I15" s="36">
        <v>4.2857142599999998</v>
      </c>
      <c r="J15" s="36">
        <v>6.4793750000000001</v>
      </c>
      <c r="K15" s="36">
        <v>0</v>
      </c>
      <c r="L15" s="36">
        <v>10.521262</v>
      </c>
      <c r="M15" s="36">
        <v>2.5</v>
      </c>
      <c r="N15" s="36">
        <v>4.83</v>
      </c>
      <c r="O15" s="36">
        <v>2.7428569999999999</v>
      </c>
      <c r="P15" s="36">
        <v>5.9612499999999997</v>
      </c>
      <c r="Q15" s="36">
        <v>0</v>
      </c>
      <c r="R15" s="36">
        <v>9.3927189999999996</v>
      </c>
    </row>
    <row r="16" spans="2:18" ht="15" customHeight="1" x14ac:dyDescent="0.25">
      <c r="B16" s="89" t="s">
        <v>11</v>
      </c>
      <c r="C16" s="36">
        <v>184.36927700000001</v>
      </c>
      <c r="D16" s="36">
        <v>211.45411799999999</v>
      </c>
      <c r="E16" s="36">
        <v>198.18348253846153</v>
      </c>
      <c r="F16" s="36">
        <v>14.2</v>
      </c>
      <c r="G16" s="36">
        <v>6.663461538461541</v>
      </c>
      <c r="H16" s="36">
        <v>10.770889</v>
      </c>
      <c r="I16" s="36">
        <v>23.65915</v>
      </c>
      <c r="J16" s="36">
        <v>0</v>
      </c>
      <c r="K16" s="36">
        <v>7.9477779999999996</v>
      </c>
      <c r="L16" s="36">
        <v>14.254443999999999</v>
      </c>
      <c r="M16" s="36">
        <v>6.1875</v>
      </c>
      <c r="N16" s="36">
        <v>8.4114579999999997</v>
      </c>
      <c r="O16" s="36">
        <v>98.771302000000006</v>
      </c>
      <c r="P16" s="36">
        <v>0</v>
      </c>
      <c r="Q16" s="36">
        <v>7.6574999999999998</v>
      </c>
      <c r="R16" s="36">
        <v>13.972222</v>
      </c>
    </row>
    <row r="17" spans="2:22" ht="15" customHeight="1" x14ac:dyDescent="0.25">
      <c r="B17" s="16" t="s">
        <v>10</v>
      </c>
      <c r="C17" s="36">
        <v>375.27334200000001</v>
      </c>
      <c r="D17" s="36">
        <v>437.30124999999998</v>
      </c>
      <c r="E17" s="36">
        <v>341.98742200000004</v>
      </c>
      <c r="F17" s="36">
        <v>21.106618000000001</v>
      </c>
      <c r="G17" s="36">
        <v>0</v>
      </c>
      <c r="H17" s="36">
        <v>0</v>
      </c>
      <c r="I17" s="36">
        <v>42.295400000000001</v>
      </c>
      <c r="J17" s="36">
        <v>111.40047800000001</v>
      </c>
      <c r="K17" s="36">
        <v>21.896711</v>
      </c>
      <c r="L17" s="36">
        <v>16.567647000000001</v>
      </c>
      <c r="M17" s="36">
        <v>7.4375</v>
      </c>
      <c r="N17" s="36">
        <v>38.015000000000001</v>
      </c>
      <c r="O17" s="36">
        <v>48.745244999999997</v>
      </c>
      <c r="P17" s="36">
        <v>85.731778000000006</v>
      </c>
      <c r="Q17" s="36">
        <v>41.17445</v>
      </c>
      <c r="R17" s="36">
        <v>37.639057000000001</v>
      </c>
    </row>
    <row r="18" spans="2:22" ht="15" customHeight="1" x14ac:dyDescent="0.25">
      <c r="B18" s="11"/>
      <c r="C18" s="36"/>
      <c r="D18" s="36"/>
      <c r="E18" s="36"/>
    </row>
    <row r="19" spans="2:22" ht="15" customHeight="1" x14ac:dyDescent="0.25">
      <c r="B19" s="13" t="s">
        <v>78</v>
      </c>
      <c r="C19" s="38">
        <v>831.54605900000001</v>
      </c>
      <c r="D19" s="38">
        <v>833.25335800000005</v>
      </c>
      <c r="E19" s="38">
        <v>855.62804000000006</v>
      </c>
      <c r="F19" s="38">
        <f t="shared" ref="F19:H19" si="7">F20+F21+F22+F23</f>
        <v>843.89763800000003</v>
      </c>
      <c r="G19" s="38">
        <f t="shared" si="7"/>
        <v>843.89763800000003</v>
      </c>
      <c r="H19" s="38">
        <f t="shared" si="7"/>
        <v>843.89763800000003</v>
      </c>
      <c r="I19" s="86">
        <f>I20+I21+I22+I23</f>
        <v>947.61103472000002</v>
      </c>
      <c r="J19" s="38">
        <f t="shared" ref="J19" si="8">J20+J21+J22+J23</f>
        <v>853.57264099999998</v>
      </c>
      <c r="K19" s="38">
        <f t="shared" ref="K19:R19" si="9">K20+K21+K22+K23</f>
        <v>853.57264099999998</v>
      </c>
      <c r="L19" s="38">
        <f t="shared" si="9"/>
        <v>854.69764099999998</v>
      </c>
      <c r="M19" s="38">
        <f t="shared" si="9"/>
        <v>854.69763899999998</v>
      </c>
      <c r="N19" s="38">
        <f t="shared" si="9"/>
        <v>816.68263999999999</v>
      </c>
      <c r="O19" s="38">
        <f t="shared" si="9"/>
        <v>855.62804000000006</v>
      </c>
      <c r="P19" s="38">
        <f t="shared" si="9"/>
        <v>864.33375999999998</v>
      </c>
      <c r="Q19" s="38">
        <f t="shared" si="9"/>
        <v>864.33375999999998</v>
      </c>
      <c r="R19" s="38">
        <f t="shared" si="9"/>
        <v>864.33375999999998</v>
      </c>
    </row>
    <row r="20" spans="2:22" ht="15" customHeight="1" x14ac:dyDescent="0.25">
      <c r="B20" s="16" t="s">
        <v>47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</row>
    <row r="21" spans="2:22" ht="15" customHeight="1" x14ac:dyDescent="0.25">
      <c r="B21" s="16" t="s">
        <v>48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22" ht="15" customHeight="1" x14ac:dyDescent="0.25">
      <c r="B22" s="16" t="s">
        <v>11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22" ht="15" customHeight="1" x14ac:dyDescent="0.25">
      <c r="B23" s="16" t="s">
        <v>10</v>
      </c>
      <c r="C23" s="36">
        <v>831.54605900000001</v>
      </c>
      <c r="D23" s="36">
        <v>833.25335800000005</v>
      </c>
      <c r="E23" s="36">
        <v>855.62804000000006</v>
      </c>
      <c r="F23" s="36">
        <v>843.89763800000003</v>
      </c>
      <c r="G23" s="36">
        <v>843.89763800000003</v>
      </c>
      <c r="H23" s="36">
        <v>843.89763800000003</v>
      </c>
      <c r="I23" s="36">
        <v>947.61103472000002</v>
      </c>
      <c r="J23" s="36">
        <v>853.57264099999998</v>
      </c>
      <c r="K23" s="36">
        <v>853.57264099999998</v>
      </c>
      <c r="L23" s="36">
        <v>854.69764099999998</v>
      </c>
      <c r="M23" s="36">
        <v>854.69763899999998</v>
      </c>
      <c r="N23" s="36">
        <v>816.68263999999999</v>
      </c>
      <c r="O23" s="36">
        <v>855.62804000000006</v>
      </c>
      <c r="P23" s="36">
        <v>864.33375999999998</v>
      </c>
      <c r="Q23" s="36">
        <v>864.33375999999998</v>
      </c>
      <c r="R23" s="36">
        <v>864.33375999999998</v>
      </c>
    </row>
    <row r="24" spans="2:22" ht="15" customHeight="1" x14ac:dyDescent="0.25">
      <c r="B24" s="11"/>
      <c r="C24" s="36"/>
      <c r="D24" s="36"/>
      <c r="E24" s="36"/>
    </row>
    <row r="25" spans="2:22" ht="15" customHeight="1" x14ac:dyDescent="0.25">
      <c r="B25" s="13" t="s">
        <v>49</v>
      </c>
      <c r="C25" s="38">
        <f>C26+C27+C28+C29</f>
        <v>16329.667087999998</v>
      </c>
      <c r="D25" s="38">
        <v>15988.509039</v>
      </c>
      <c r="E25" s="38">
        <f>E26+E27+E28+E29</f>
        <v>28740.017262307691</v>
      </c>
      <c r="F25" s="38">
        <f t="shared" ref="F25:H25" si="10">F26+F27+F28+F29</f>
        <v>2132.3488050000001</v>
      </c>
      <c r="G25" s="38">
        <f t="shared" si="10"/>
        <v>2124.6626923076924</v>
      </c>
      <c r="H25" s="38">
        <f t="shared" si="10"/>
        <v>1583.825</v>
      </c>
      <c r="I25" s="38">
        <f t="shared" ref="I25:J25" si="11">I26+I27+I28+I29</f>
        <v>1163.114286</v>
      </c>
      <c r="J25" s="38">
        <f t="shared" si="11"/>
        <v>3378.8679999999999</v>
      </c>
      <c r="K25" s="38">
        <f t="shared" ref="K25:R25" si="12">K26+K27+K28+K29</f>
        <v>2860.8947370000001</v>
      </c>
      <c r="L25" s="38">
        <f t="shared" si="12"/>
        <v>2206.448805</v>
      </c>
      <c r="M25" s="38">
        <f t="shared" si="12"/>
        <v>1217.3076920000001</v>
      </c>
      <c r="N25" s="38">
        <f t="shared" si="12"/>
        <v>2821.415</v>
      </c>
      <c r="O25" s="38">
        <f t="shared" si="12"/>
        <v>5525.7195080000001</v>
      </c>
      <c r="P25" s="38">
        <f t="shared" si="12"/>
        <v>2117.3509509999999</v>
      </c>
      <c r="Q25" s="38">
        <f t="shared" si="12"/>
        <v>1293.8276980000001</v>
      </c>
      <c r="R25" s="38">
        <f t="shared" si="12"/>
        <v>2358.8700319999998</v>
      </c>
      <c r="V25" s="33"/>
    </row>
    <row r="26" spans="2:22" ht="14.25" customHeight="1" x14ac:dyDescent="0.25">
      <c r="B26" s="16" t="s">
        <v>47</v>
      </c>
      <c r="C26" s="36">
        <v>14467.72</v>
      </c>
      <c r="D26" s="36">
        <v>14346.992</v>
      </c>
      <c r="E26" s="36">
        <v>22533.187999999998</v>
      </c>
      <c r="F26" s="36">
        <v>1873.9</v>
      </c>
      <c r="G26" s="36">
        <v>2107.355</v>
      </c>
      <c r="H26" s="36">
        <v>1445.75</v>
      </c>
      <c r="I26" s="36">
        <v>1137.4000000000001</v>
      </c>
      <c r="J26" s="36">
        <v>1397</v>
      </c>
      <c r="K26" s="36">
        <v>2798</v>
      </c>
      <c r="L26" s="36">
        <v>1948</v>
      </c>
      <c r="M26" s="36">
        <f>500+700</f>
        <v>1200</v>
      </c>
      <c r="N26" s="36">
        <f>940.05+801.7+800</f>
        <v>2541.75</v>
      </c>
      <c r="O26" s="36">
        <f>997.333+1600</f>
        <v>2597.3330000000001</v>
      </c>
      <c r="P26" s="36">
        <f>1334+700</f>
        <v>2034</v>
      </c>
      <c r="Q26" s="36">
        <f>800+400</f>
        <v>1200</v>
      </c>
      <c r="R26" s="36">
        <f>800+1288.22</f>
        <v>2088.2200000000003</v>
      </c>
    </row>
    <row r="27" spans="2:22" ht="15" customHeight="1" x14ac:dyDescent="0.25">
      <c r="B27" s="16" t="s">
        <v>48</v>
      </c>
      <c r="C27" s="36">
        <v>292.40328799999997</v>
      </c>
      <c r="D27" s="36">
        <v>327.97323899999998</v>
      </c>
      <c r="E27" s="36">
        <v>344.639906</v>
      </c>
      <c r="F27" s="36">
        <v>56.855666999999997</v>
      </c>
      <c r="G27" s="36">
        <v>0</v>
      </c>
      <c r="H27" s="36">
        <v>92</v>
      </c>
      <c r="I27" s="36">
        <v>5.7142860000000004</v>
      </c>
      <c r="J27" s="36">
        <v>17.75</v>
      </c>
      <c r="K27" s="36">
        <v>0</v>
      </c>
      <c r="L27" s="36">
        <v>56.855666999999997</v>
      </c>
      <c r="M27" s="36">
        <v>0</v>
      </c>
      <c r="N27" s="36">
        <v>92</v>
      </c>
      <c r="O27" s="36">
        <v>5.7142860000000004</v>
      </c>
      <c r="P27" s="36">
        <v>17.75</v>
      </c>
      <c r="Q27" s="36">
        <v>0</v>
      </c>
      <c r="R27" s="36">
        <v>56.855666999999997</v>
      </c>
    </row>
    <row r="28" spans="2:22" ht="15" customHeight="1" x14ac:dyDescent="0.25">
      <c r="B28" s="16" t="s">
        <v>11</v>
      </c>
      <c r="C28" s="36">
        <v>147.66538499999999</v>
      </c>
      <c r="D28" s="36">
        <v>497.66538400000002</v>
      </c>
      <c r="E28" s="36">
        <v>3050.5487183076921</v>
      </c>
      <c r="F28" s="36">
        <v>6.6666670000000003</v>
      </c>
      <c r="G28" s="36">
        <v>17.307692307692307</v>
      </c>
      <c r="H28" s="36">
        <v>46.075000000000003</v>
      </c>
      <c r="I28" s="36">
        <v>0</v>
      </c>
      <c r="J28" s="36">
        <v>0</v>
      </c>
      <c r="K28" s="36">
        <v>0</v>
      </c>
      <c r="L28" s="36">
        <v>6.6666670000000003</v>
      </c>
      <c r="M28" s="36">
        <v>17.307691999999999</v>
      </c>
      <c r="N28" s="36">
        <v>35.625</v>
      </c>
      <c r="O28" s="36">
        <v>2910.45</v>
      </c>
      <c r="P28" s="36">
        <v>0</v>
      </c>
      <c r="Q28" s="36">
        <v>10.45</v>
      </c>
      <c r="R28" s="36">
        <v>6.6666670000000003</v>
      </c>
    </row>
    <row r="29" spans="2:22" ht="15" customHeight="1" x14ac:dyDescent="0.25">
      <c r="B29" s="16" t="s">
        <v>10</v>
      </c>
      <c r="C29" s="36">
        <v>1421.8784149999999</v>
      </c>
      <c r="D29" s="36">
        <v>815.8784159999999</v>
      </c>
      <c r="E29" s="36">
        <v>2811.6406380000003</v>
      </c>
      <c r="F29" s="36">
        <v>194.92647099999999</v>
      </c>
      <c r="G29" s="36">
        <v>0</v>
      </c>
      <c r="H29" s="36">
        <v>0</v>
      </c>
      <c r="I29" s="36">
        <v>20</v>
      </c>
      <c r="J29" s="36">
        <v>1964.1179999999999</v>
      </c>
      <c r="K29" s="36">
        <v>62.894736999999999</v>
      </c>
      <c r="L29" s="36">
        <v>194.92647099999999</v>
      </c>
      <c r="M29" s="36">
        <v>0</v>
      </c>
      <c r="N29" s="36">
        <v>152.04</v>
      </c>
      <c r="O29" s="36">
        <v>12.222222</v>
      </c>
      <c r="P29" s="36">
        <v>65.600950999999995</v>
      </c>
      <c r="Q29" s="36">
        <v>83.377697999999995</v>
      </c>
      <c r="R29" s="36">
        <v>207.12769800000001</v>
      </c>
    </row>
    <row r="30" spans="2:22" ht="15" customHeight="1" x14ac:dyDescent="0.25">
      <c r="B30" s="11"/>
      <c r="C30" s="36"/>
      <c r="D30" s="36"/>
      <c r="E30" s="36"/>
    </row>
    <row r="31" spans="2:22" ht="15" customHeight="1" x14ac:dyDescent="0.25">
      <c r="B31" s="13" t="s">
        <v>79</v>
      </c>
      <c r="C31" s="38">
        <f>C32+C33+C34+C35</f>
        <v>1376.6556660000001</v>
      </c>
      <c r="D31" s="38">
        <v>1452.6856660000001</v>
      </c>
      <c r="E31" s="38">
        <v>1397.553666</v>
      </c>
      <c r="F31" s="38">
        <f t="shared" ref="F31:H31" si="13">F32+F33+F34+F35</f>
        <v>1501.149666</v>
      </c>
      <c r="G31" s="38">
        <f t="shared" si="13"/>
        <v>1501.149666</v>
      </c>
      <c r="H31" s="38">
        <f t="shared" si="13"/>
        <v>1501.149666</v>
      </c>
      <c r="I31" s="38">
        <f t="shared" ref="I31:J31" si="14">I32+I33+I34+I35</f>
        <v>3317.6496659999998</v>
      </c>
      <c r="J31" s="38">
        <f t="shared" si="14"/>
        <v>1549.613666</v>
      </c>
      <c r="K31" s="38">
        <f t="shared" ref="K31:R31" si="15">K32+K33+K34+K35</f>
        <v>1549.613666</v>
      </c>
      <c r="L31" s="38">
        <f t="shared" si="15"/>
        <v>1549.613666</v>
      </c>
      <c r="M31" s="38">
        <f t="shared" si="15"/>
        <v>1549.613666</v>
      </c>
      <c r="N31" s="38">
        <f t="shared" si="15"/>
        <v>1397.553666</v>
      </c>
      <c r="O31" s="38">
        <f t="shared" si="15"/>
        <v>1397.553666</v>
      </c>
      <c r="P31" s="38">
        <f t="shared" si="15"/>
        <v>1446.017666</v>
      </c>
      <c r="Q31" s="38">
        <f t="shared" si="15"/>
        <v>1446.017666</v>
      </c>
      <c r="R31" s="38">
        <f t="shared" si="15"/>
        <v>1446.017666</v>
      </c>
    </row>
    <row r="32" spans="2:22" ht="15" customHeight="1" x14ac:dyDescent="0.25">
      <c r="B32" s="16" t="s">
        <v>47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16" t="s">
        <v>48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16" t="s">
        <v>11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</row>
    <row r="35" spans="2:18" ht="15" customHeight="1" x14ac:dyDescent="0.25">
      <c r="B35" s="20" t="s">
        <v>10</v>
      </c>
      <c r="C35" s="39">
        <v>1376.6556660000001</v>
      </c>
      <c r="D35" s="39">
        <v>1452.6856660000001</v>
      </c>
      <c r="E35" s="39">
        <v>1397.553666</v>
      </c>
      <c r="F35" s="39">
        <v>1501.149666</v>
      </c>
      <c r="G35" s="39">
        <v>1501.149666</v>
      </c>
      <c r="H35" s="39">
        <v>1501.149666</v>
      </c>
      <c r="I35" s="39">
        <v>3317.6496659999998</v>
      </c>
      <c r="J35" s="39">
        <v>1549.613666</v>
      </c>
      <c r="K35" s="39">
        <v>1549.613666</v>
      </c>
      <c r="L35" s="39">
        <v>1549.613666</v>
      </c>
      <c r="M35" s="39">
        <v>1549.613666</v>
      </c>
      <c r="N35" s="39">
        <v>1397.553666</v>
      </c>
      <c r="O35" s="39">
        <v>1397.553666</v>
      </c>
      <c r="P35" s="39">
        <v>1446.017666</v>
      </c>
      <c r="Q35" s="39">
        <v>1446.017666</v>
      </c>
      <c r="R35" s="39">
        <v>1446.017666</v>
      </c>
    </row>
    <row r="36" spans="2:18" ht="15" customHeight="1" x14ac:dyDescent="0.25">
      <c r="B36" s="17" t="s">
        <v>111</v>
      </c>
      <c r="C36" s="11"/>
      <c r="D36" s="11"/>
      <c r="E36" s="11"/>
      <c r="I36" s="108"/>
    </row>
    <row r="37" spans="2:18" ht="15" customHeight="1" x14ac:dyDescent="0.25">
      <c r="B37" s="17" t="s">
        <v>66</v>
      </c>
      <c r="C37" s="11"/>
      <c r="D37" s="11"/>
      <c r="E37" s="11"/>
      <c r="I37" s="40"/>
      <c r="J37" s="40"/>
      <c r="N37" s="40"/>
      <c r="O37" s="40"/>
      <c r="P37" s="40"/>
      <c r="Q37" s="40"/>
      <c r="R37" s="40"/>
    </row>
    <row r="38" spans="2:18" ht="15" customHeight="1" x14ac:dyDescent="0.25">
      <c r="B38" s="17" t="s">
        <v>97</v>
      </c>
      <c r="C38" s="11"/>
      <c r="D38" s="11"/>
      <c r="E38" s="11"/>
    </row>
    <row r="39" spans="2:18" ht="15" customHeight="1" x14ac:dyDescent="0.25">
      <c r="B39" s="17" t="s">
        <v>98</v>
      </c>
      <c r="C39" s="11"/>
      <c r="D39" s="11"/>
      <c r="E39" s="11"/>
    </row>
    <row r="40" spans="2:18" ht="15" customHeight="1" x14ac:dyDescent="0.25">
      <c r="B40" s="17" t="s">
        <v>99</v>
      </c>
      <c r="C40" s="11"/>
      <c r="D40" s="11"/>
      <c r="E40" s="11"/>
    </row>
    <row r="41" spans="2:18" ht="15" customHeight="1" x14ac:dyDescent="0.25">
      <c r="B41" s="17" t="s">
        <v>105</v>
      </c>
      <c r="C41" s="11"/>
      <c r="D41" s="11"/>
      <c r="E41" s="11"/>
    </row>
    <row r="42" spans="2:18" ht="15" customHeight="1" x14ac:dyDescent="0.25">
      <c r="B42" s="17" t="s">
        <v>106</v>
      </c>
      <c r="C42" s="11"/>
      <c r="D42" s="11"/>
      <c r="E42" s="11"/>
    </row>
    <row r="43" spans="2:18" ht="15" customHeight="1" x14ac:dyDescent="0.25">
      <c r="B43" s="17"/>
      <c r="C43" s="11"/>
      <c r="D43" s="11"/>
      <c r="E43" s="11"/>
    </row>
  </sheetData>
  <sheetProtection algorithmName="SHA-512" hashValue="uBo55s/ufTVqzpCFPqPqOaSRDfQp8aU4ba3xEEAgE/r8PZyQk6lLN1jUVTTW3F68iF5BXIuF2WZs9I0fnM07og==" saltValue="Y4d/xdf1iUdYpObMgVWNSw==" spinCount="100000" sheet="1" objects="1" scenarios="1"/>
  <mergeCells count="16">
    <mergeCell ref="J4:J5"/>
    <mergeCell ref="N4:N5"/>
    <mergeCell ref="M4:M5"/>
    <mergeCell ref="I4:I5"/>
    <mergeCell ref="H4:H5"/>
    <mergeCell ref="G4:G5"/>
    <mergeCell ref="E4:E5"/>
    <mergeCell ref="C4:C5"/>
    <mergeCell ref="F4:F5"/>
    <mergeCell ref="D4:D5"/>
    <mergeCell ref="R4:R5"/>
    <mergeCell ref="P4:P5"/>
    <mergeCell ref="L4:L5"/>
    <mergeCell ref="K4:K5"/>
    <mergeCell ref="O4:O5"/>
    <mergeCell ref="Q4:Q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3:B8"/>
  <sheetViews>
    <sheetView workbookViewId="0">
      <selection activeCell="Q14" sqref="Q14"/>
    </sheetView>
  </sheetViews>
  <sheetFormatPr defaultRowHeight="15" x14ac:dyDescent="0.25"/>
  <sheetData>
    <row r="3" spans="2:2" x14ac:dyDescent="0.25">
      <c r="B3" t="s">
        <v>82</v>
      </c>
    </row>
    <row r="4" spans="2:2" x14ac:dyDescent="0.25">
      <c r="B4" t="s">
        <v>83</v>
      </c>
    </row>
    <row r="5" spans="2:2" x14ac:dyDescent="0.25">
      <c r="B5" t="s">
        <v>84</v>
      </c>
    </row>
    <row r="6" spans="2:2" x14ac:dyDescent="0.25">
      <c r="B6" t="s">
        <v>85</v>
      </c>
    </row>
    <row r="7" spans="2:2" x14ac:dyDescent="0.25">
      <c r="B7" t="s">
        <v>86</v>
      </c>
    </row>
    <row r="8" spans="2:2" x14ac:dyDescent="0.25">
      <c r="B8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W99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W1" activeCellId="2" sqref="C1:C1048576 G1:I1048576 W1:X1048576"/>
    </sheetView>
  </sheetViews>
  <sheetFormatPr defaultRowHeight="15" customHeight="1" x14ac:dyDescent="0.25"/>
  <cols>
    <col min="1" max="1" width="3.7109375" style="11" customWidth="1"/>
    <col min="2" max="2" width="50.7109375" style="11" customWidth="1"/>
    <col min="3" max="18" width="10.7109375" style="11" customWidth="1"/>
    <col min="19" max="16384" width="9.140625" style="11"/>
  </cols>
  <sheetData>
    <row r="3" spans="1:21" ht="15" customHeight="1" x14ac:dyDescent="0.25">
      <c r="A3" s="18"/>
      <c r="B3" s="19" t="s">
        <v>70</v>
      </c>
    </row>
    <row r="4" spans="1:21" ht="15" customHeight="1" x14ac:dyDescent="0.25"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</row>
    <row r="5" spans="1:21" ht="15" customHeight="1" x14ac:dyDescent="0.25"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1:21" ht="15" customHeight="1" x14ac:dyDescent="0.25">
      <c r="C6" s="12"/>
      <c r="D6" s="12"/>
      <c r="E6" s="12"/>
    </row>
    <row r="7" spans="1:21" ht="15" customHeight="1" x14ac:dyDescent="0.25">
      <c r="B7" s="13" t="s">
        <v>50</v>
      </c>
      <c r="C7" s="13"/>
      <c r="D7" s="13"/>
      <c r="E7" s="13"/>
    </row>
    <row r="8" spans="1:21" s="90" customFormat="1" ht="15" customHeight="1" x14ac:dyDescent="0.25">
      <c r="B8" s="14" t="s">
        <v>54</v>
      </c>
      <c r="C8" s="60">
        <v>25</v>
      </c>
      <c r="D8" s="60">
        <v>27</v>
      </c>
      <c r="E8" s="60">
        <v>32</v>
      </c>
      <c r="F8" s="60">
        <f t="shared" ref="F8:H8" si="0">SUM(F9:F11)</f>
        <v>2</v>
      </c>
      <c r="G8" s="60">
        <f t="shared" si="0"/>
        <v>4</v>
      </c>
      <c r="H8" s="60">
        <f t="shared" si="0"/>
        <v>5</v>
      </c>
      <c r="I8" s="60">
        <f t="shared" ref="I8:J8" si="1">SUM(I9:I11)</f>
        <v>0</v>
      </c>
      <c r="J8" s="60">
        <f t="shared" si="1"/>
        <v>6</v>
      </c>
      <c r="K8" s="60">
        <f t="shared" ref="K8:R8" si="2">SUM(K9:K11)</f>
        <v>3</v>
      </c>
      <c r="L8" s="60">
        <f t="shared" si="2"/>
        <v>2</v>
      </c>
      <c r="M8" s="60">
        <f t="shared" si="2"/>
        <v>5</v>
      </c>
      <c r="N8" s="60">
        <f t="shared" si="2"/>
        <v>3</v>
      </c>
      <c r="O8" s="60">
        <f t="shared" si="2"/>
        <v>1</v>
      </c>
      <c r="P8" s="60">
        <f t="shared" si="2"/>
        <v>0</v>
      </c>
      <c r="Q8" s="60">
        <f t="shared" si="2"/>
        <v>4</v>
      </c>
      <c r="R8" s="60">
        <f t="shared" si="2"/>
        <v>3</v>
      </c>
    </row>
    <row r="9" spans="1:21" ht="15" customHeight="1" x14ac:dyDescent="0.25">
      <c r="B9" s="15" t="s">
        <v>0</v>
      </c>
      <c r="C9" s="61">
        <v>17</v>
      </c>
      <c r="D9" s="61">
        <v>20</v>
      </c>
      <c r="E9" s="61">
        <v>21</v>
      </c>
      <c r="F9" s="61">
        <v>0</v>
      </c>
      <c r="G9" s="61">
        <v>0</v>
      </c>
      <c r="H9" s="61">
        <v>2</v>
      </c>
      <c r="I9" s="61">
        <v>0</v>
      </c>
      <c r="J9" s="61">
        <v>6</v>
      </c>
      <c r="K9" s="61">
        <v>2</v>
      </c>
      <c r="L9" s="61">
        <v>2</v>
      </c>
      <c r="M9" s="61">
        <v>5</v>
      </c>
      <c r="N9" s="61">
        <v>3</v>
      </c>
      <c r="O9" s="61">
        <v>1</v>
      </c>
      <c r="P9" s="61">
        <v>0</v>
      </c>
      <c r="Q9" s="61">
        <v>1</v>
      </c>
      <c r="R9" s="61">
        <v>1</v>
      </c>
    </row>
    <row r="10" spans="1:21" ht="15" customHeight="1" x14ac:dyDescent="0.25">
      <c r="B10" s="15" t="s">
        <v>1</v>
      </c>
      <c r="C10" s="61">
        <v>7</v>
      </c>
      <c r="D10" s="61">
        <v>7</v>
      </c>
      <c r="E10" s="61">
        <v>11</v>
      </c>
      <c r="F10" s="61">
        <v>2</v>
      </c>
      <c r="G10" s="61">
        <v>4</v>
      </c>
      <c r="H10" s="61">
        <v>3</v>
      </c>
      <c r="I10" s="61">
        <v>0</v>
      </c>
      <c r="J10" s="61">
        <v>0</v>
      </c>
      <c r="K10" s="61">
        <v>1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3</v>
      </c>
      <c r="R10" s="61">
        <v>2</v>
      </c>
    </row>
    <row r="11" spans="1:21" ht="15" customHeight="1" x14ac:dyDescent="0.25">
      <c r="B11" s="15" t="s">
        <v>75</v>
      </c>
      <c r="C11" s="61">
        <v>1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</row>
    <row r="12" spans="1:21" s="90" customFormat="1" ht="15" customHeight="1" x14ac:dyDescent="0.25">
      <c r="B12" s="14" t="s">
        <v>2</v>
      </c>
      <c r="C12" s="60">
        <v>5</v>
      </c>
      <c r="D12" s="60">
        <v>2</v>
      </c>
      <c r="E12" s="60">
        <v>8</v>
      </c>
      <c r="F12" s="60">
        <v>0</v>
      </c>
      <c r="G12" s="60">
        <v>1</v>
      </c>
      <c r="H12" s="60">
        <v>0</v>
      </c>
      <c r="I12" s="60">
        <v>0</v>
      </c>
      <c r="J12" s="60">
        <v>2</v>
      </c>
      <c r="K12" s="60">
        <v>0</v>
      </c>
      <c r="L12" s="60">
        <v>0</v>
      </c>
      <c r="M12" s="60">
        <v>0</v>
      </c>
      <c r="N12" s="60">
        <v>1</v>
      </c>
      <c r="O12" s="60">
        <v>4</v>
      </c>
      <c r="P12" s="60">
        <v>1</v>
      </c>
      <c r="Q12" s="60">
        <v>0</v>
      </c>
      <c r="R12" s="60">
        <v>0</v>
      </c>
      <c r="U12" s="121"/>
    </row>
    <row r="13" spans="1:21" ht="14.25" customHeight="1" x14ac:dyDescent="0.25">
      <c r="B13" s="16" t="s">
        <v>13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21" ht="15" customHeight="1" x14ac:dyDescent="0.25">
      <c r="B14" s="15" t="s">
        <v>55</v>
      </c>
      <c r="C14" s="61">
        <v>2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</row>
    <row r="15" spans="1:21" ht="15" customHeight="1" x14ac:dyDescent="0.25">
      <c r="B15" s="15" t="s">
        <v>21</v>
      </c>
      <c r="C15" s="61">
        <v>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</row>
    <row r="16" spans="1:21" ht="15" customHeight="1" x14ac:dyDescent="0.25">
      <c r="B16" s="15" t="s">
        <v>22</v>
      </c>
      <c r="C16" s="61">
        <v>1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</row>
    <row r="17" spans="2:23" s="90" customFormat="1" ht="15" customHeight="1" x14ac:dyDescent="0.25">
      <c r="B17" s="14" t="s">
        <v>3</v>
      </c>
      <c r="C17" s="60">
        <v>3</v>
      </c>
      <c r="D17" s="60">
        <v>0</v>
      </c>
      <c r="E17" s="60">
        <v>2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2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</row>
    <row r="18" spans="2:23" ht="15" customHeight="1" x14ac:dyDescent="0.25">
      <c r="B18" s="15" t="s">
        <v>23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</row>
    <row r="19" spans="2:23" ht="15" customHeight="1" x14ac:dyDescent="0.25">
      <c r="B19" s="15"/>
      <c r="C19" s="63"/>
      <c r="D19" s="61"/>
      <c r="E19" s="61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2:23" ht="15" customHeight="1" x14ac:dyDescent="0.25">
      <c r="B20" s="13" t="s">
        <v>51</v>
      </c>
      <c r="C20" s="63"/>
      <c r="D20" s="61"/>
      <c r="E20" s="61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2:23" s="90" customFormat="1" ht="15" customHeight="1" x14ac:dyDescent="0.25">
      <c r="B21" s="14" t="s">
        <v>54</v>
      </c>
      <c r="C21" s="37">
        <f t="shared" ref="C21" si="3">C22+C23+C24</f>
        <v>16000</v>
      </c>
      <c r="D21" s="37">
        <v>19967.688000000002</v>
      </c>
      <c r="E21" s="37">
        <v>24557.7</v>
      </c>
      <c r="F21" s="37">
        <f t="shared" ref="F21:H21" si="4">F22+F23+F24</f>
        <v>1600</v>
      </c>
      <c r="G21" s="37">
        <f t="shared" si="4"/>
        <v>3101.7</v>
      </c>
      <c r="H21" s="37">
        <f t="shared" si="4"/>
        <v>3816.002</v>
      </c>
      <c r="I21" s="37">
        <f t="shared" ref="I21:J21" si="5">I22+I23+I24</f>
        <v>0</v>
      </c>
      <c r="J21" s="37">
        <f t="shared" si="5"/>
        <v>4483.9979999999996</v>
      </c>
      <c r="K21" s="37">
        <f t="shared" ref="K21:R21" si="6">K22+K23+K24</f>
        <v>2400</v>
      </c>
      <c r="L21" s="37">
        <f t="shared" si="6"/>
        <v>1300</v>
      </c>
      <c r="M21" s="37">
        <f t="shared" si="6"/>
        <v>3998</v>
      </c>
      <c r="N21" s="37">
        <f t="shared" si="6"/>
        <v>2258</v>
      </c>
      <c r="O21" s="37">
        <f t="shared" si="6"/>
        <v>800</v>
      </c>
      <c r="P21" s="37">
        <f t="shared" si="6"/>
        <v>0</v>
      </c>
      <c r="Q21" s="37">
        <f t="shared" si="6"/>
        <v>3202</v>
      </c>
      <c r="R21" s="37">
        <f t="shared" si="6"/>
        <v>2417.5209999999997</v>
      </c>
      <c r="T21" s="104"/>
    </row>
    <row r="22" spans="2:23" ht="15" customHeight="1" x14ac:dyDescent="0.25">
      <c r="B22" s="15" t="s">
        <v>0</v>
      </c>
      <c r="C22" s="36">
        <v>11736.7</v>
      </c>
      <c r="D22" s="36">
        <v>15167.688</v>
      </c>
      <c r="E22" s="36">
        <v>15956</v>
      </c>
      <c r="F22" s="36">
        <v>0</v>
      </c>
      <c r="G22" s="36">
        <v>0</v>
      </c>
      <c r="H22" s="36">
        <v>1516.002</v>
      </c>
      <c r="I22" s="36">
        <v>0</v>
      </c>
      <c r="J22" s="36">
        <v>4483.9979999999996</v>
      </c>
      <c r="K22" s="36">
        <v>1600</v>
      </c>
      <c r="L22" s="36">
        <v>1300</v>
      </c>
      <c r="M22" s="36">
        <v>3998</v>
      </c>
      <c r="N22" s="36">
        <v>2258</v>
      </c>
      <c r="O22" s="36">
        <v>800</v>
      </c>
      <c r="P22" s="36">
        <v>0</v>
      </c>
      <c r="Q22" s="36">
        <v>802</v>
      </c>
      <c r="R22" s="36">
        <v>818.01</v>
      </c>
      <c r="S22" s="128"/>
      <c r="T22" s="128"/>
      <c r="U22" s="90"/>
      <c r="V22" s="90"/>
      <c r="W22" s="90"/>
    </row>
    <row r="23" spans="2:23" ht="15" customHeight="1" x14ac:dyDescent="0.25">
      <c r="B23" s="15" t="s">
        <v>1</v>
      </c>
      <c r="C23" s="36">
        <v>4163.3</v>
      </c>
      <c r="D23" s="87">
        <v>4800</v>
      </c>
      <c r="E23" s="87">
        <v>8601.7000000000007</v>
      </c>
      <c r="F23" s="36">
        <v>1600</v>
      </c>
      <c r="G23" s="36">
        <v>3101.7</v>
      </c>
      <c r="H23" s="36">
        <v>2300</v>
      </c>
      <c r="I23" s="36">
        <v>0</v>
      </c>
      <c r="J23" s="36">
        <v>0</v>
      </c>
      <c r="K23" s="36">
        <v>800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2400</v>
      </c>
      <c r="R23" s="36">
        <v>1599.511</v>
      </c>
      <c r="S23" s="128"/>
      <c r="T23" s="128"/>
      <c r="U23" s="120"/>
      <c r="V23" s="90"/>
      <c r="W23" s="90"/>
    </row>
    <row r="24" spans="2:23" ht="15" customHeight="1" x14ac:dyDescent="0.25">
      <c r="B24" s="15" t="s">
        <v>75</v>
      </c>
      <c r="C24" s="36">
        <v>100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T24" s="29"/>
      <c r="U24" s="90"/>
      <c r="V24" s="90"/>
      <c r="W24" s="90"/>
    </row>
    <row r="25" spans="2:23" s="90" customFormat="1" ht="15" customHeight="1" x14ac:dyDescent="0.25">
      <c r="B25" s="14" t="s">
        <v>2</v>
      </c>
      <c r="C25" s="37">
        <v>1955.47</v>
      </c>
      <c r="D25" s="37">
        <v>1373.18</v>
      </c>
      <c r="E25" s="37">
        <v>8043.6140000000005</v>
      </c>
      <c r="F25" s="37">
        <v>0</v>
      </c>
      <c r="G25" s="37">
        <v>350</v>
      </c>
      <c r="H25" s="37">
        <v>0</v>
      </c>
      <c r="I25" s="37">
        <v>0</v>
      </c>
      <c r="J25" s="37">
        <v>1973.335</v>
      </c>
      <c r="K25" s="37">
        <v>0</v>
      </c>
      <c r="L25" s="37">
        <v>0</v>
      </c>
      <c r="M25" s="37">
        <v>0</v>
      </c>
      <c r="N25" s="37">
        <v>680</v>
      </c>
      <c r="O25" s="37">
        <f>3207.323+657.956+175+1000</f>
        <v>5040.2790000000005</v>
      </c>
      <c r="P25" s="37">
        <v>320</v>
      </c>
      <c r="Q25" s="37">
        <v>0</v>
      </c>
      <c r="R25" s="37">
        <v>0</v>
      </c>
      <c r="V25" s="105"/>
      <c r="W25" s="99"/>
    </row>
    <row r="26" spans="2:23" ht="15" customHeight="1" x14ac:dyDescent="0.25">
      <c r="B26" s="16" t="s">
        <v>13</v>
      </c>
      <c r="C26" s="36"/>
      <c r="D26" s="61"/>
      <c r="E26" s="61"/>
    </row>
    <row r="27" spans="2:23" ht="15" customHeight="1" x14ac:dyDescent="0.25">
      <c r="B27" s="15" t="s">
        <v>55</v>
      </c>
      <c r="C27" s="36">
        <v>960.47</v>
      </c>
      <c r="D27" s="36">
        <v>0</v>
      </c>
      <c r="E27" s="36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</row>
    <row r="28" spans="2:23" ht="15" customHeight="1" x14ac:dyDescent="0.25">
      <c r="B28" s="15" t="s">
        <v>21</v>
      </c>
      <c r="C28" s="36">
        <v>1460.47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</row>
    <row r="29" spans="2:23" ht="15" customHeight="1" x14ac:dyDescent="0.25">
      <c r="B29" s="15" t="s">
        <v>22</v>
      </c>
      <c r="C29" s="36">
        <v>145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2:23" s="90" customFormat="1" ht="15" customHeight="1" x14ac:dyDescent="0.25">
      <c r="B30" s="14" t="s">
        <v>3</v>
      </c>
      <c r="C30" s="37">
        <v>831.89</v>
      </c>
      <c r="D30" s="37">
        <v>0</v>
      </c>
      <c r="E30" s="37">
        <v>700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700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</row>
    <row r="31" spans="2:23" ht="15" customHeight="1" x14ac:dyDescent="0.25">
      <c r="B31" s="15" t="s">
        <v>23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</row>
    <row r="32" spans="2:23" ht="15" customHeight="1" x14ac:dyDescent="0.25">
      <c r="B32" s="15"/>
      <c r="C32" s="63"/>
      <c r="D32" s="61"/>
      <c r="E32" s="61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2:18" ht="15" customHeight="1" x14ac:dyDescent="0.25">
      <c r="B33" s="13" t="s">
        <v>52</v>
      </c>
      <c r="C33" s="63"/>
      <c r="D33" s="61"/>
      <c r="E33" s="61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  <row r="34" spans="2:18" s="90" customFormat="1" ht="14.25" customHeight="1" x14ac:dyDescent="0.25">
      <c r="B34" s="14" t="s">
        <v>54</v>
      </c>
      <c r="C34" s="65">
        <v>4.34471893081761</v>
      </c>
      <c r="D34" s="65">
        <v>3.9757349960898201</v>
      </c>
      <c r="E34" s="65">
        <v>5.0254667634585619</v>
      </c>
      <c r="F34" s="65">
        <v>0.70833333333333337</v>
      </c>
      <c r="G34" s="65">
        <v>0.57777777777777772</v>
      </c>
      <c r="H34" s="65">
        <v>3.1</v>
      </c>
      <c r="I34" s="37">
        <v>0</v>
      </c>
      <c r="J34" s="71">
        <v>7.89</v>
      </c>
      <c r="K34" s="71">
        <v>5.0834000000000001</v>
      </c>
      <c r="L34" s="71">
        <v>7.23</v>
      </c>
      <c r="M34" s="71">
        <v>7</v>
      </c>
      <c r="N34" s="71">
        <v>7.3525243578387949</v>
      </c>
      <c r="O34" s="71">
        <v>8</v>
      </c>
      <c r="P34" s="71">
        <v>0</v>
      </c>
      <c r="Q34" s="71">
        <v>1.6271080574640848</v>
      </c>
      <c r="R34" s="71">
        <v>2.0502292086259715</v>
      </c>
    </row>
    <row r="35" spans="2:18" ht="15" customHeight="1" x14ac:dyDescent="0.25">
      <c r="B35" s="15" t="s">
        <v>0</v>
      </c>
      <c r="C35" s="56">
        <v>5.6262455375020224</v>
      </c>
      <c r="D35" s="56">
        <v>5.4033259386664589</v>
      </c>
      <c r="E35" s="56">
        <v>7.4285996035330042</v>
      </c>
      <c r="F35" s="36">
        <v>0</v>
      </c>
      <c r="G35" s="36">
        <v>0</v>
      </c>
      <c r="H35" s="66">
        <v>7.03</v>
      </c>
      <c r="I35" s="36">
        <v>0</v>
      </c>
      <c r="J35" s="66">
        <v>7.89</v>
      </c>
      <c r="K35" s="66">
        <v>7.5</v>
      </c>
      <c r="L35" s="66">
        <v>7.23</v>
      </c>
      <c r="M35" s="66">
        <v>7</v>
      </c>
      <c r="N35" s="66">
        <v>7.3525243578387949</v>
      </c>
      <c r="O35" s="66">
        <v>8</v>
      </c>
      <c r="P35" s="66">
        <v>0</v>
      </c>
      <c r="Q35" s="66">
        <v>5</v>
      </c>
      <c r="R35" s="66">
        <v>5</v>
      </c>
    </row>
    <row r="36" spans="2:18" ht="15" customHeight="1" x14ac:dyDescent="0.25">
      <c r="B36" s="15" t="s">
        <v>1</v>
      </c>
      <c r="C36" s="56">
        <v>0.73198544423894507</v>
      </c>
      <c r="D36" s="56">
        <v>0.61472602739726023</v>
      </c>
      <c r="E36" s="56">
        <v>0.56769822977012674</v>
      </c>
      <c r="F36" s="66">
        <f>255/360</f>
        <v>0.70833333333333337</v>
      </c>
      <c r="G36" s="66">
        <f>208/360</f>
        <v>0.57777777777777772</v>
      </c>
      <c r="H36" s="66">
        <v>0.5</v>
      </c>
      <c r="I36" s="36">
        <v>0</v>
      </c>
      <c r="J36" s="66">
        <v>0</v>
      </c>
      <c r="K36" s="66">
        <v>0.25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0.5</v>
      </c>
      <c r="R36" s="66">
        <v>0.54167940493479982</v>
      </c>
    </row>
    <row r="37" spans="2:18" ht="15" customHeight="1" x14ac:dyDescent="0.25">
      <c r="B37" s="14" t="s">
        <v>2</v>
      </c>
      <c r="C37" s="65">
        <v>5.132479659621473</v>
      </c>
      <c r="D37" s="65">
        <v>14.817940838054735</v>
      </c>
      <c r="E37" s="65">
        <v>9.2490937531313655</v>
      </c>
      <c r="F37" s="37">
        <v>0</v>
      </c>
      <c r="G37" s="65">
        <v>10</v>
      </c>
      <c r="H37" s="65"/>
      <c r="I37" s="37">
        <v>0</v>
      </c>
      <c r="J37" s="71">
        <v>10</v>
      </c>
      <c r="K37" s="71">
        <v>0</v>
      </c>
      <c r="L37" s="71">
        <v>0</v>
      </c>
      <c r="M37" s="71">
        <v>0</v>
      </c>
      <c r="N37" s="71">
        <v>7</v>
      </c>
      <c r="O37" s="71">
        <v>9.2063931381576278</v>
      </c>
      <c r="P37" s="71">
        <v>7</v>
      </c>
      <c r="Q37" s="71">
        <v>0</v>
      </c>
      <c r="R37" s="71">
        <v>0</v>
      </c>
    </row>
    <row r="38" spans="2:18" ht="15" customHeight="1" x14ac:dyDescent="0.25">
      <c r="B38" s="16" t="s">
        <v>13</v>
      </c>
      <c r="C38" s="56"/>
      <c r="D38" s="61"/>
      <c r="E38" s="61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  <row r="39" spans="2:18" ht="15" customHeight="1" x14ac:dyDescent="0.25">
      <c r="B39" s="15" t="s">
        <v>55</v>
      </c>
      <c r="C39" s="56">
        <v>3.7288098535092198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</row>
    <row r="40" spans="2:18" ht="15" customHeight="1" x14ac:dyDescent="0.25">
      <c r="B40" s="15" t="s">
        <v>21</v>
      </c>
      <c r="C40" s="56">
        <v>5.8757865618602239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</row>
    <row r="41" spans="2:18" ht="15" customHeight="1" x14ac:dyDescent="0.25">
      <c r="B41" s="15" t="s">
        <v>22</v>
      </c>
      <c r="C41" s="56">
        <v>4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</row>
    <row r="42" spans="2:18" ht="15" customHeight="1" x14ac:dyDescent="0.25">
      <c r="B42" s="14" t="s">
        <v>3</v>
      </c>
      <c r="C42" s="65">
        <v>7.5844763129740711</v>
      </c>
      <c r="D42" s="37">
        <v>0</v>
      </c>
      <c r="E42" s="71">
        <v>15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71">
        <v>15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</row>
    <row r="43" spans="2:18" ht="15" customHeight="1" x14ac:dyDescent="0.25">
      <c r="B43" s="15" t="s">
        <v>23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</row>
    <row r="44" spans="2:18" ht="15" customHeight="1" x14ac:dyDescent="0.25">
      <c r="B44" s="15"/>
      <c r="C44" s="64"/>
      <c r="D44" s="61"/>
      <c r="E44" s="61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2:18" ht="15" customHeight="1" x14ac:dyDescent="0.25">
      <c r="B45" s="13" t="s">
        <v>53</v>
      </c>
      <c r="C45" s="64"/>
      <c r="D45" s="61"/>
      <c r="E45" s="61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2:18" s="90" customFormat="1" ht="15" customHeight="1" x14ac:dyDescent="0.25">
      <c r="B46" s="14" t="s">
        <v>54</v>
      </c>
      <c r="C46" s="58">
        <v>2.3546288443396228E-2</v>
      </c>
      <c r="D46" s="58">
        <v>2.3806032901756077E-2</v>
      </c>
      <c r="E46" s="58">
        <v>2.3152404846545075E-2</v>
      </c>
      <c r="F46" s="58">
        <v>1.2812499999999999E-2</v>
      </c>
      <c r="G46" s="58">
        <v>1.3125E-2</v>
      </c>
      <c r="H46" s="58">
        <v>1.95E-2</v>
      </c>
      <c r="I46" s="37">
        <v>0</v>
      </c>
      <c r="J46" s="99">
        <v>2.75E-2</v>
      </c>
      <c r="K46" s="99">
        <v>2.3125E-2</v>
      </c>
      <c r="L46" s="99">
        <v>2.75E-2</v>
      </c>
      <c r="M46" s="99">
        <v>2.75E-2</v>
      </c>
      <c r="N46" s="99">
        <v>3.2125775022143491E-2</v>
      </c>
      <c r="O46" s="99">
        <v>3.2500000000000001E-2</v>
      </c>
      <c r="P46" s="37">
        <v>0</v>
      </c>
      <c r="Q46" s="99">
        <v>1.9383957292317303E-2</v>
      </c>
      <c r="R46" s="99">
        <v>2.2378377219887648E-2</v>
      </c>
    </row>
    <row r="47" spans="2:18" ht="15" customHeight="1" x14ac:dyDescent="0.25">
      <c r="B47" s="15" t="s">
        <v>0</v>
      </c>
      <c r="C47" s="59">
        <v>2.8351494564059741E-2</v>
      </c>
      <c r="D47" s="59">
        <v>2.9890939047533156E-2</v>
      </c>
      <c r="E47" s="59">
        <v>2.7540179242918024E-2</v>
      </c>
      <c r="F47" s="36">
        <v>0</v>
      </c>
      <c r="G47" s="36">
        <v>0</v>
      </c>
      <c r="H47" s="59">
        <v>2.75E-2</v>
      </c>
      <c r="I47" s="36">
        <v>0</v>
      </c>
      <c r="J47" s="28">
        <v>2.75E-2</v>
      </c>
      <c r="K47" s="28">
        <v>2.75E-2</v>
      </c>
      <c r="L47" s="28">
        <v>2.75E-2</v>
      </c>
      <c r="M47" s="28">
        <v>2.75E-2</v>
      </c>
      <c r="N47" s="28">
        <v>3.2125775022143491E-2</v>
      </c>
      <c r="O47" s="28">
        <v>3.2500000000000001E-2</v>
      </c>
      <c r="P47" s="36">
        <v>0</v>
      </c>
      <c r="Q47" s="28">
        <v>3.3750000000000002E-2</v>
      </c>
      <c r="R47" s="28">
        <v>3.3750000000000002E-2</v>
      </c>
    </row>
    <row r="48" spans="2:18" ht="15" customHeight="1" x14ac:dyDescent="0.25">
      <c r="B48" s="15" t="s">
        <v>1</v>
      </c>
      <c r="C48" s="59">
        <v>0.01</v>
      </c>
      <c r="D48" s="59">
        <v>1.3255208333333334E-2</v>
      </c>
      <c r="E48" s="59">
        <v>1.3408374216724601E-2</v>
      </c>
      <c r="F48" s="59">
        <v>1.2812499999999999E-2</v>
      </c>
      <c r="G48" s="59">
        <v>1.3125E-2</v>
      </c>
      <c r="H48" s="59">
        <v>1.4200000000000001E-2</v>
      </c>
      <c r="I48" s="36">
        <v>0</v>
      </c>
      <c r="J48" s="36">
        <v>0</v>
      </c>
      <c r="K48" s="28">
        <v>1.4375000000000001E-2</v>
      </c>
      <c r="L48" s="37">
        <v>0</v>
      </c>
      <c r="M48" s="37">
        <v>0</v>
      </c>
      <c r="N48" s="37">
        <v>0</v>
      </c>
      <c r="O48" s="37">
        <v>0</v>
      </c>
      <c r="P48" s="36">
        <v>0</v>
      </c>
      <c r="Q48" s="28">
        <v>1.4583304687500001E-2</v>
      </c>
      <c r="R48" s="28">
        <v>1.6562786611032998E-2</v>
      </c>
    </row>
    <row r="49" spans="2:18" s="90" customFormat="1" ht="15" customHeight="1" x14ac:dyDescent="0.25">
      <c r="B49" s="14" t="s">
        <v>2</v>
      </c>
      <c r="C49" s="58">
        <v>4.1251693966156473E-2</v>
      </c>
      <c r="D49" s="58">
        <v>5.9453822514164201E-2</v>
      </c>
      <c r="E49" s="58">
        <v>5.7752262788840943E-2</v>
      </c>
      <c r="F49" s="31" t="s">
        <v>89</v>
      </c>
      <c r="G49" s="58">
        <v>4.2500000000000003E-2</v>
      </c>
      <c r="H49" s="31" t="s">
        <v>89</v>
      </c>
      <c r="I49" s="37">
        <v>0</v>
      </c>
      <c r="J49" s="99">
        <v>5.6099999999999997E-2</v>
      </c>
      <c r="K49" s="37">
        <v>0</v>
      </c>
      <c r="L49" s="37">
        <v>0</v>
      </c>
      <c r="M49" s="37">
        <v>0</v>
      </c>
      <c r="N49" s="99">
        <v>4.4999999999999998E-2</v>
      </c>
      <c r="O49" s="99">
        <v>6.049870790882806E-2</v>
      </c>
      <c r="P49" s="99">
        <v>0.05</v>
      </c>
      <c r="Q49" s="37">
        <v>0</v>
      </c>
      <c r="R49" s="37">
        <v>0</v>
      </c>
    </row>
    <row r="50" spans="2:18" ht="15" customHeight="1" x14ac:dyDescent="0.25">
      <c r="B50" s="16" t="s">
        <v>13</v>
      </c>
      <c r="C50" s="29"/>
      <c r="D50" s="61"/>
      <c r="E50" s="61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2:18" ht="15" customHeight="1" x14ac:dyDescent="0.25">
      <c r="B51" s="15" t="s">
        <v>55</v>
      </c>
      <c r="C51" s="30">
        <v>3.6822024633773057E-2</v>
      </c>
      <c r="D51" s="84" t="s">
        <v>89</v>
      </c>
      <c r="E51" s="84" t="s">
        <v>89</v>
      </c>
      <c r="F51" s="30" t="s">
        <v>89</v>
      </c>
      <c r="G51" s="30" t="s">
        <v>89</v>
      </c>
      <c r="H51" s="30" t="s">
        <v>89</v>
      </c>
      <c r="I51" s="30" t="s">
        <v>89</v>
      </c>
      <c r="J51" s="30" t="s">
        <v>89</v>
      </c>
      <c r="K51" s="30" t="s">
        <v>89</v>
      </c>
      <c r="L51" s="30" t="s">
        <v>89</v>
      </c>
      <c r="M51" s="30" t="s">
        <v>89</v>
      </c>
      <c r="N51" s="30" t="s">
        <v>89</v>
      </c>
      <c r="O51" s="30" t="s">
        <v>89</v>
      </c>
      <c r="P51" s="30" t="s">
        <v>89</v>
      </c>
      <c r="Q51" s="30" t="s">
        <v>89</v>
      </c>
      <c r="R51" s="30" t="s">
        <v>89</v>
      </c>
    </row>
    <row r="52" spans="2:18" ht="15" customHeight="1" x14ac:dyDescent="0.25">
      <c r="B52" s="15" t="s">
        <v>21</v>
      </c>
      <c r="C52" s="59">
        <v>4.0477688689257572E-2</v>
      </c>
      <c r="D52" s="84" t="s">
        <v>89</v>
      </c>
      <c r="E52" s="84" t="s">
        <v>89</v>
      </c>
      <c r="F52" s="30" t="s">
        <v>89</v>
      </c>
      <c r="G52" s="30" t="s">
        <v>89</v>
      </c>
      <c r="H52" s="30" t="s">
        <v>89</v>
      </c>
      <c r="I52" s="30" t="s">
        <v>89</v>
      </c>
      <c r="J52" s="30" t="s">
        <v>89</v>
      </c>
      <c r="K52" s="30" t="s">
        <v>89</v>
      </c>
      <c r="L52" s="30" t="s">
        <v>89</v>
      </c>
      <c r="M52" s="30" t="s">
        <v>89</v>
      </c>
      <c r="N52" s="30" t="s">
        <v>89</v>
      </c>
      <c r="O52" s="30" t="s">
        <v>89</v>
      </c>
      <c r="P52" s="30" t="s">
        <v>89</v>
      </c>
      <c r="Q52" s="30" t="s">
        <v>89</v>
      </c>
      <c r="R52" s="30" t="s">
        <v>89</v>
      </c>
    </row>
    <row r="53" spans="2:18" ht="15" customHeight="1" x14ac:dyDescent="0.25">
      <c r="B53" s="15" t="s">
        <v>22</v>
      </c>
      <c r="C53" s="59">
        <v>0.04</v>
      </c>
      <c r="D53" s="84" t="s">
        <v>89</v>
      </c>
      <c r="E53" s="84" t="s">
        <v>89</v>
      </c>
      <c r="F53" s="30" t="s">
        <v>89</v>
      </c>
      <c r="G53" s="30" t="s">
        <v>89</v>
      </c>
      <c r="H53" s="30" t="s">
        <v>89</v>
      </c>
      <c r="I53" s="30" t="s">
        <v>89</v>
      </c>
      <c r="J53" s="30" t="s">
        <v>89</v>
      </c>
      <c r="K53" s="30" t="s">
        <v>89</v>
      </c>
      <c r="L53" s="30" t="s">
        <v>89</v>
      </c>
      <c r="M53" s="30" t="s">
        <v>89</v>
      </c>
      <c r="N53" s="30" t="s">
        <v>89</v>
      </c>
      <c r="O53" s="30" t="s">
        <v>89</v>
      </c>
      <c r="P53" s="30" t="s">
        <v>89</v>
      </c>
      <c r="Q53" s="30" t="s">
        <v>89</v>
      </c>
      <c r="R53" s="30" t="s">
        <v>89</v>
      </c>
    </row>
    <row r="54" spans="2:18" ht="15" customHeight="1" x14ac:dyDescent="0.25">
      <c r="B54" s="14" t="s">
        <v>3</v>
      </c>
      <c r="C54" s="58">
        <v>4.0595361165538711E-2</v>
      </c>
      <c r="D54" s="31" t="s">
        <v>89</v>
      </c>
      <c r="E54" s="31">
        <v>4.9071428571428571E-2</v>
      </c>
      <c r="F54" s="31" t="s">
        <v>89</v>
      </c>
      <c r="G54" s="31" t="s">
        <v>89</v>
      </c>
      <c r="H54" s="31" t="s">
        <v>89</v>
      </c>
      <c r="I54" s="31" t="s">
        <v>89</v>
      </c>
      <c r="J54" s="31" t="s">
        <v>89</v>
      </c>
      <c r="K54" s="31" t="s">
        <v>89</v>
      </c>
      <c r="L54" s="31" t="s">
        <v>89</v>
      </c>
      <c r="M54" s="31">
        <v>4.9099999999999998E-2</v>
      </c>
      <c r="N54" s="31" t="s">
        <v>89</v>
      </c>
      <c r="O54" s="31" t="s">
        <v>89</v>
      </c>
      <c r="P54" s="31" t="s">
        <v>89</v>
      </c>
      <c r="Q54" s="31" t="s">
        <v>89</v>
      </c>
      <c r="R54" s="31" t="s">
        <v>89</v>
      </c>
    </row>
    <row r="55" spans="2:18" ht="15" customHeight="1" x14ac:dyDescent="0.25">
      <c r="B55" s="21" t="s">
        <v>23</v>
      </c>
      <c r="C55" s="32" t="s">
        <v>89</v>
      </c>
      <c r="D55" s="32" t="s">
        <v>89</v>
      </c>
      <c r="E55" s="32" t="s">
        <v>89</v>
      </c>
      <c r="F55" s="32" t="s">
        <v>89</v>
      </c>
      <c r="G55" s="32" t="s">
        <v>89</v>
      </c>
      <c r="H55" s="32" t="s">
        <v>89</v>
      </c>
      <c r="I55" s="32" t="s">
        <v>89</v>
      </c>
      <c r="J55" s="32" t="s">
        <v>89</v>
      </c>
      <c r="K55" s="32" t="s">
        <v>89</v>
      </c>
      <c r="L55" s="32" t="s">
        <v>89</v>
      </c>
      <c r="M55" s="32" t="s">
        <v>89</v>
      </c>
      <c r="N55" s="32" t="s">
        <v>89</v>
      </c>
      <c r="O55" s="32" t="s">
        <v>89</v>
      </c>
      <c r="P55" s="32" t="s">
        <v>89</v>
      </c>
      <c r="Q55" s="32" t="s">
        <v>89</v>
      </c>
      <c r="R55" s="32" t="s">
        <v>89</v>
      </c>
    </row>
    <row r="56" spans="2:18" ht="15" customHeight="1" x14ac:dyDescent="0.25">
      <c r="B56" s="17" t="s">
        <v>111</v>
      </c>
    </row>
    <row r="57" spans="2:18" ht="15" customHeight="1" x14ac:dyDescent="0.25">
      <c r="B57" s="17" t="s">
        <v>66</v>
      </c>
    </row>
    <row r="58" spans="2:18" ht="15" customHeight="1" x14ac:dyDescent="0.25">
      <c r="B58" s="17" t="s">
        <v>103</v>
      </c>
    </row>
    <row r="59" spans="2:18" ht="15" customHeight="1" x14ac:dyDescent="0.25">
      <c r="B59" s="17" t="s">
        <v>104</v>
      </c>
    </row>
    <row r="60" spans="2:18" ht="15" customHeight="1" x14ac:dyDescent="0.25">
      <c r="B60" s="17"/>
      <c r="C60" s="103"/>
      <c r="D60" s="103"/>
      <c r="E60" s="103"/>
    </row>
    <row r="61" spans="2:18" ht="15" customHeight="1" x14ac:dyDescent="0.25">
      <c r="B61" s="17"/>
    </row>
    <row r="99" spans="2:2" ht="15" customHeight="1" x14ac:dyDescent="0.25">
      <c r="B99" s="15"/>
    </row>
  </sheetData>
  <sheetProtection algorithmName="SHA-512" hashValue="8DF8Gr2SrVhVJebkpmLEMW6gl3ut9MVYsJHuEGs+gQTbwATky3HSxXB1NDuRqaKLjykQP+LZSNzeWouzmex1TA==" saltValue="o79tgh6etQLszN3sfvrhww==" spinCount="100000" sheet="1" objects="1" scenarios="1"/>
  <mergeCells count="17">
    <mergeCell ref="E4:E5"/>
    <mergeCell ref="C4:C5"/>
    <mergeCell ref="H4:H5"/>
    <mergeCell ref="F4:F5"/>
    <mergeCell ref="G4:G5"/>
    <mergeCell ref="D4:D5"/>
    <mergeCell ref="J4:J5"/>
    <mergeCell ref="O4:O5"/>
    <mergeCell ref="I4:I5"/>
    <mergeCell ref="N4:N5"/>
    <mergeCell ref="M4:M5"/>
    <mergeCell ref="L4:L5"/>
    <mergeCell ref="S22:T23"/>
    <mergeCell ref="Q4:Q5"/>
    <mergeCell ref="R4:R5"/>
    <mergeCell ref="P4:P5"/>
    <mergeCell ref="K4:K5"/>
  </mergeCells>
  <pageMargins left="0.7" right="0.7" top="0.75" bottom="0.75" header="0.3" footer="0.3"/>
  <pageSetup paperSize="9" orientation="portrait" r:id="rId1"/>
  <ignoredErrors>
    <ignoredError sqref="F8:N8 O8:R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Z47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1" sqref="F1:F1048576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2" width="10.7109375" style="11" customWidth="1"/>
    <col min="13" max="18" width="11.42578125" style="11" customWidth="1"/>
    <col min="19" max="19" width="13.140625" style="1" customWidth="1"/>
    <col min="20" max="21" width="10.7109375" style="1" customWidth="1"/>
    <col min="22" max="16384" width="9.140625" style="1"/>
  </cols>
  <sheetData>
    <row r="3" spans="2:21" ht="15" customHeight="1" x14ac:dyDescent="0.25">
      <c r="B3" s="19" t="s">
        <v>91</v>
      </c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45"/>
      <c r="T3" s="45"/>
      <c r="U3" s="45"/>
    </row>
    <row r="4" spans="2:21" ht="15" customHeight="1" x14ac:dyDescent="0.25">
      <c r="B4" s="15"/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  <c r="S4" s="96"/>
      <c r="T4" s="96"/>
      <c r="U4" s="96"/>
    </row>
    <row r="5" spans="2:21" ht="15" customHeight="1" x14ac:dyDescent="0.25">
      <c r="B5" s="15"/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96"/>
      <c r="T5" s="96"/>
      <c r="U5" s="96"/>
    </row>
    <row r="6" spans="2:21" ht="15" customHeight="1" x14ac:dyDescent="0.25">
      <c r="B6" s="11"/>
      <c r="C6" s="92"/>
      <c r="D6" s="92"/>
      <c r="E6" s="92"/>
    </row>
    <row r="7" spans="2:21" ht="15" customHeight="1" x14ac:dyDescent="0.25">
      <c r="B7" s="13" t="s">
        <v>90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54"/>
      <c r="U7" s="54"/>
    </row>
    <row r="8" spans="2:21" s="79" customFormat="1" ht="15" customHeight="1" x14ac:dyDescent="0.25">
      <c r="B8" s="14" t="s">
        <v>54</v>
      </c>
      <c r="C8" s="37">
        <f t="shared" ref="C8:H8" si="0">C9+C10+C11</f>
        <v>92056.763000000006</v>
      </c>
      <c r="D8" s="37">
        <v>97280.459000000003</v>
      </c>
      <c r="E8" s="37">
        <v>99304.971000000005</v>
      </c>
      <c r="F8" s="37">
        <f t="shared" si="0"/>
        <v>94319.858999999997</v>
      </c>
      <c r="G8" s="37">
        <f t="shared" si="0"/>
        <v>95314.203999999998</v>
      </c>
      <c r="H8" s="37">
        <f t="shared" si="0"/>
        <v>97684.455999999991</v>
      </c>
      <c r="I8" s="37">
        <f t="shared" ref="I8:J8" si="1">I9+I10+I11</f>
        <v>96547.055999999997</v>
      </c>
      <c r="J8" s="37">
        <f t="shared" si="1"/>
        <v>99634.054000000004</v>
      </c>
      <c r="K8" s="37">
        <f t="shared" ref="K8:Q8" si="2">K9+K10+K11</f>
        <v>99236.054000000004</v>
      </c>
      <c r="L8" s="37">
        <f t="shared" si="2"/>
        <v>98588.054000000004</v>
      </c>
      <c r="M8" s="37">
        <f t="shared" si="2"/>
        <v>101386.054</v>
      </c>
      <c r="N8" s="37">
        <f t="shared" si="2"/>
        <v>101102.304</v>
      </c>
      <c r="O8" s="37">
        <f t="shared" si="2"/>
        <v>99304.971000000005</v>
      </c>
      <c r="P8" s="37">
        <f t="shared" si="2"/>
        <v>97270.971000000005</v>
      </c>
      <c r="Q8" s="37">
        <f t="shared" si="2"/>
        <v>99272.971000000005</v>
      </c>
      <c r="R8" s="37">
        <f>R9+R10+R11</f>
        <v>99602.271999999997</v>
      </c>
      <c r="S8" s="36"/>
      <c r="T8" s="36"/>
      <c r="U8" s="36"/>
    </row>
    <row r="9" spans="2:21" ht="15" customHeight="1" x14ac:dyDescent="0.25">
      <c r="B9" s="15" t="s">
        <v>0</v>
      </c>
      <c r="C9" s="36">
        <v>90056.763000000006</v>
      </c>
      <c r="D9" s="36">
        <v>94280.459000000003</v>
      </c>
      <c r="E9" s="36">
        <v>96904.971000000005</v>
      </c>
      <c r="F9" s="36">
        <v>90319.858999999997</v>
      </c>
      <c r="G9" s="36">
        <v>88212.504000000001</v>
      </c>
      <c r="H9" s="36">
        <v>88282.755999999994</v>
      </c>
      <c r="I9" s="36">
        <v>87145.356</v>
      </c>
      <c r="J9" s="36">
        <v>90932.354000000007</v>
      </c>
      <c r="K9" s="36">
        <v>92134.354000000007</v>
      </c>
      <c r="L9" s="36">
        <v>92286.354000000007</v>
      </c>
      <c r="M9" s="36">
        <v>95784.354000000007</v>
      </c>
      <c r="N9" s="36">
        <v>97102.304000000004</v>
      </c>
      <c r="O9" s="36">
        <v>96904.971000000005</v>
      </c>
      <c r="P9" s="36">
        <v>95570.971000000005</v>
      </c>
      <c r="Q9" s="36">
        <v>95972.971000000005</v>
      </c>
      <c r="R9" s="36">
        <v>95502.760999999999</v>
      </c>
      <c r="S9" s="36"/>
      <c r="T9" s="36"/>
      <c r="U9" s="36"/>
    </row>
    <row r="10" spans="2:21" ht="15" customHeight="1" x14ac:dyDescent="0.25">
      <c r="B10" s="15" t="s">
        <v>1</v>
      </c>
      <c r="C10" s="36">
        <v>1900</v>
      </c>
      <c r="D10" s="36">
        <v>2900</v>
      </c>
      <c r="E10" s="36">
        <v>2300</v>
      </c>
      <c r="F10" s="36">
        <v>3900</v>
      </c>
      <c r="G10" s="36">
        <v>7001.7</v>
      </c>
      <c r="H10" s="36">
        <v>9301.7000000000007</v>
      </c>
      <c r="I10" s="36">
        <v>9301.7000000000007</v>
      </c>
      <c r="J10" s="36">
        <v>8601.7000000000007</v>
      </c>
      <c r="K10" s="36">
        <v>7001.7</v>
      </c>
      <c r="L10" s="36">
        <v>6201.7</v>
      </c>
      <c r="M10" s="36">
        <v>5501.7</v>
      </c>
      <c r="N10" s="36">
        <v>3900</v>
      </c>
      <c r="O10" s="36">
        <v>2300</v>
      </c>
      <c r="P10" s="36">
        <v>1600</v>
      </c>
      <c r="Q10" s="36">
        <v>3200</v>
      </c>
      <c r="R10" s="36">
        <v>3999.511</v>
      </c>
      <c r="S10" s="36"/>
      <c r="T10" s="107"/>
      <c r="U10" s="107"/>
    </row>
    <row r="11" spans="2:21" ht="15" customHeight="1" x14ac:dyDescent="0.25">
      <c r="B11" s="15" t="s">
        <v>75</v>
      </c>
      <c r="C11" s="36">
        <v>100</v>
      </c>
      <c r="D11" s="36">
        <v>100</v>
      </c>
      <c r="E11" s="36">
        <v>100</v>
      </c>
      <c r="F11" s="36">
        <v>100</v>
      </c>
      <c r="G11" s="36">
        <v>100</v>
      </c>
      <c r="H11" s="36">
        <v>100</v>
      </c>
      <c r="I11" s="36">
        <v>100</v>
      </c>
      <c r="J11" s="36">
        <v>100</v>
      </c>
      <c r="K11" s="36">
        <v>100</v>
      </c>
      <c r="L11" s="36">
        <v>100</v>
      </c>
      <c r="M11" s="36">
        <v>100</v>
      </c>
      <c r="N11" s="36">
        <v>100</v>
      </c>
      <c r="O11" s="36">
        <v>100</v>
      </c>
      <c r="P11" s="36">
        <v>100</v>
      </c>
      <c r="Q11" s="36">
        <v>100</v>
      </c>
      <c r="R11" s="36">
        <v>100</v>
      </c>
      <c r="S11" s="116"/>
      <c r="T11" s="40"/>
      <c r="U11" s="40"/>
    </row>
    <row r="12" spans="2:21" s="79" customFormat="1" ht="15" customHeight="1" x14ac:dyDescent="0.25">
      <c r="B12" s="14" t="s">
        <v>2</v>
      </c>
      <c r="C12" s="37">
        <v>16215.685981730094</v>
      </c>
      <c r="D12" s="37">
        <v>16200.999481000001</v>
      </c>
      <c r="E12" s="37">
        <v>18404.798808000003</v>
      </c>
      <c r="F12" s="37">
        <v>15789.087888563086</v>
      </c>
      <c r="G12" s="37">
        <v>16121.7801959477</v>
      </c>
      <c r="H12" s="37">
        <v>16075.705196280702</v>
      </c>
      <c r="I12" s="37">
        <v>16055.705196280702</v>
      </c>
      <c r="J12" s="37">
        <v>16074.597196780702</v>
      </c>
      <c r="K12" s="37">
        <v>16001.252459938596</v>
      </c>
      <c r="L12" s="37">
        <v>15800.784321938598</v>
      </c>
      <c r="M12" s="37">
        <v>15783.476629999999</v>
      </c>
      <c r="N12" s="37">
        <v>16237.796630000001</v>
      </c>
      <c r="O12" s="37">
        <v>18404.798808</v>
      </c>
      <c r="P12" s="37">
        <v>18667.903576000001</v>
      </c>
      <c r="Q12" s="37">
        <v>18574.075887999999</v>
      </c>
      <c r="R12" s="37">
        <v>18360.281522999998</v>
      </c>
      <c r="S12" s="36"/>
      <c r="T12" s="36"/>
      <c r="U12" s="36"/>
    </row>
    <row r="13" spans="2:21" ht="15" customHeight="1" x14ac:dyDescent="0.25">
      <c r="B13" s="16" t="s">
        <v>13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40"/>
      <c r="T13" s="40"/>
      <c r="U13" s="40"/>
    </row>
    <row r="14" spans="2:21" ht="15.75" customHeight="1" x14ac:dyDescent="0.25">
      <c r="B14" s="15" t="s">
        <v>55</v>
      </c>
      <c r="C14" s="36">
        <v>6123.190724</v>
      </c>
      <c r="D14" s="36">
        <v>6149.0409250000002</v>
      </c>
      <c r="E14" s="36">
        <v>5879.1323069999999</v>
      </c>
      <c r="F14" s="36">
        <v>6059.5123059999996</v>
      </c>
      <c r="G14" s="36">
        <v>6059.5123059999996</v>
      </c>
      <c r="H14" s="36">
        <v>6059.5123059999996</v>
      </c>
      <c r="I14" s="36">
        <v>6059.5123059999996</v>
      </c>
      <c r="J14" s="36">
        <v>6069.1873070000001</v>
      </c>
      <c r="K14" s="36">
        <v>6069.1873070000001</v>
      </c>
      <c r="L14" s="36">
        <v>6069.1873070000001</v>
      </c>
      <c r="M14" s="36">
        <v>6069.1873070000001</v>
      </c>
      <c r="N14" s="36">
        <v>5879.1323069999999</v>
      </c>
      <c r="O14" s="36">
        <v>5879.1323069999999</v>
      </c>
      <c r="P14" s="36">
        <v>5887.8380260000004</v>
      </c>
      <c r="Q14" s="36">
        <v>5887.8380260000004</v>
      </c>
      <c r="R14" s="36">
        <v>5887.8380260000004</v>
      </c>
      <c r="S14" s="40"/>
      <c r="T14" s="40"/>
      <c r="U14" s="40"/>
    </row>
    <row r="15" spans="2:21" s="11" customFormat="1" ht="15" customHeight="1" x14ac:dyDescent="0.25">
      <c r="B15" s="15" t="s">
        <v>21</v>
      </c>
      <c r="C15" s="36">
        <v>1860.47</v>
      </c>
      <c r="D15" s="36">
        <v>1560.47</v>
      </c>
      <c r="E15" s="36">
        <v>1547.1366660000001</v>
      </c>
      <c r="F15" s="36">
        <v>1553.8033330000001</v>
      </c>
      <c r="G15" s="36">
        <v>1553.8033330000001</v>
      </c>
      <c r="H15" s="36">
        <v>1553.8033330000001</v>
      </c>
      <c r="I15" s="36">
        <v>1553.8033330000001</v>
      </c>
      <c r="J15" s="36">
        <v>1553.8033330000001</v>
      </c>
      <c r="K15" s="36">
        <v>1553.8033330000001</v>
      </c>
      <c r="L15" s="36">
        <v>1547.1366660000001</v>
      </c>
      <c r="M15" s="36">
        <v>1547.1366660000001</v>
      </c>
      <c r="N15" s="36">
        <v>1547.1366660000001</v>
      </c>
      <c r="O15" s="36">
        <v>1547.1366660000001</v>
      </c>
      <c r="P15" s="36">
        <v>1547.1366660000001</v>
      </c>
      <c r="Q15" s="36">
        <v>1532.1366660000001</v>
      </c>
      <c r="R15" s="36">
        <v>1525.4699989999999</v>
      </c>
      <c r="S15" s="40"/>
      <c r="T15" s="40"/>
      <c r="U15" s="40"/>
    </row>
    <row r="16" spans="2:21" ht="15" customHeight="1" x14ac:dyDescent="0.25">
      <c r="B16" s="15" t="s">
        <v>22</v>
      </c>
      <c r="C16" s="36">
        <v>312.2</v>
      </c>
      <c r="D16" s="36">
        <v>270.39999999999998</v>
      </c>
      <c r="E16" s="36">
        <v>239.05</v>
      </c>
      <c r="F16" s="36">
        <v>259.95</v>
      </c>
      <c r="G16" s="36">
        <v>259.95</v>
      </c>
      <c r="H16" s="36">
        <v>249.5</v>
      </c>
      <c r="I16" s="36">
        <v>249.5</v>
      </c>
      <c r="J16" s="36">
        <v>249.5</v>
      </c>
      <c r="K16" s="36">
        <v>239.05</v>
      </c>
      <c r="L16" s="36">
        <v>239.05</v>
      </c>
      <c r="M16" s="36">
        <v>239.05</v>
      </c>
      <c r="N16" s="36">
        <v>239.05</v>
      </c>
      <c r="O16" s="36">
        <v>239.05</v>
      </c>
      <c r="P16" s="36">
        <v>239.05</v>
      </c>
      <c r="Q16" s="36">
        <v>228.6</v>
      </c>
      <c r="R16" s="36">
        <v>228.6</v>
      </c>
      <c r="S16" s="36"/>
      <c r="T16" s="40"/>
      <c r="U16" s="40"/>
    </row>
    <row r="17" spans="2:26" ht="15" customHeight="1" x14ac:dyDescent="0.25">
      <c r="B17" s="14" t="s">
        <v>3</v>
      </c>
      <c r="C17" s="37">
        <v>1755.4867139999999</v>
      </c>
      <c r="D17" s="37">
        <v>1427.513475</v>
      </c>
      <c r="E17" s="37">
        <v>1782.8735690000001</v>
      </c>
      <c r="F17" s="37">
        <v>1352.9078079999999</v>
      </c>
      <c r="G17" s="37">
        <v>1352.9078079999999</v>
      </c>
      <c r="H17" s="37">
        <v>1260.9078079999999</v>
      </c>
      <c r="I17" s="37">
        <v>1255.193522</v>
      </c>
      <c r="J17" s="37">
        <v>1237.443522</v>
      </c>
      <c r="K17" s="37">
        <v>1237.443522</v>
      </c>
      <c r="L17" s="37">
        <v>1180.587855</v>
      </c>
      <c r="M17" s="37">
        <v>1880.587855</v>
      </c>
      <c r="N17" s="37">
        <v>1788.587855</v>
      </c>
      <c r="O17" s="37">
        <v>1782.8735690000001</v>
      </c>
      <c r="P17" s="37">
        <v>1765.1235690000001</v>
      </c>
      <c r="Q17" s="37">
        <v>1765.1235690000001</v>
      </c>
      <c r="R17" s="37">
        <v>1708.267902</v>
      </c>
      <c r="S17" s="36"/>
      <c r="T17" s="40"/>
      <c r="U17" s="40"/>
    </row>
    <row r="18" spans="2:26" ht="15" customHeight="1" x14ac:dyDescent="0.25">
      <c r="B18" s="15" t="s">
        <v>23</v>
      </c>
      <c r="C18" s="36">
        <v>157.5</v>
      </c>
      <c r="D18" s="36">
        <v>135</v>
      </c>
      <c r="E18" s="36">
        <v>112.5</v>
      </c>
      <c r="F18" s="36">
        <v>123.75</v>
      </c>
      <c r="G18" s="36">
        <v>123.75</v>
      </c>
      <c r="H18" s="36">
        <v>123.75</v>
      </c>
      <c r="I18" s="36">
        <v>123.75</v>
      </c>
      <c r="J18" s="36">
        <v>112.5</v>
      </c>
      <c r="K18" s="36">
        <v>112.5</v>
      </c>
      <c r="L18" s="36">
        <v>112.5</v>
      </c>
      <c r="M18" s="36">
        <v>112.5</v>
      </c>
      <c r="N18" s="36">
        <v>112.5</v>
      </c>
      <c r="O18" s="36">
        <v>112.5</v>
      </c>
      <c r="P18" s="36">
        <v>101.25</v>
      </c>
      <c r="Q18" s="36">
        <v>101.25</v>
      </c>
      <c r="R18" s="36">
        <v>101.25</v>
      </c>
      <c r="S18" s="36"/>
      <c r="T18" s="36"/>
      <c r="U18" s="36"/>
    </row>
    <row r="19" spans="2:26" x14ac:dyDescent="0.25">
      <c r="B19" s="15"/>
      <c r="C19" s="36"/>
      <c r="D19" s="36"/>
      <c r="E19" s="36"/>
    </row>
    <row r="20" spans="2:26" ht="15" customHeight="1" x14ac:dyDescent="0.25">
      <c r="B20" s="13" t="s">
        <v>25</v>
      </c>
      <c r="S20" s="40"/>
      <c r="T20" s="40"/>
      <c r="U20" s="40"/>
    </row>
    <row r="21" spans="2:26" s="79" customFormat="1" ht="15.75" customHeight="1" x14ac:dyDescent="0.25">
      <c r="B21" s="14" t="s">
        <v>54</v>
      </c>
      <c r="C21" s="65">
        <v>3.6191187835371648</v>
      </c>
      <c r="D21" s="65">
        <v>3.3749769629612478</v>
      </c>
      <c r="E21" s="65">
        <v>3.5713204902190729</v>
      </c>
      <c r="F21" s="65">
        <v>3.249067140370292</v>
      </c>
      <c r="G21" s="65">
        <v>3.1509938100260277</v>
      </c>
      <c r="H21" s="65">
        <v>3.1121439645002926</v>
      </c>
      <c r="I21" s="65">
        <v>3.0652566983082514</v>
      </c>
      <c r="J21" s="65">
        <v>3.2461979275622266</v>
      </c>
      <c r="K21" s="65">
        <v>3.2976422225202171</v>
      </c>
      <c r="L21" s="65">
        <v>3.3324264997210271</v>
      </c>
      <c r="M21" s="65">
        <v>3.4356344662437173</v>
      </c>
      <c r="N21" s="65">
        <v>3.528687670552765</v>
      </c>
      <c r="O21" s="65">
        <v>3.5713204902190729</v>
      </c>
      <c r="P21" s="65">
        <v>3.5588318386088096</v>
      </c>
      <c r="Q21" s="65">
        <v>3.4632283018368426</v>
      </c>
      <c r="R21" s="65">
        <v>3.416422851379715</v>
      </c>
      <c r="S21" s="105"/>
      <c r="T21" s="105"/>
      <c r="U21" s="105"/>
    </row>
    <row r="22" spans="2:26" ht="15" customHeight="1" x14ac:dyDescent="0.25">
      <c r="B22" s="15" t="s">
        <v>0</v>
      </c>
      <c r="C22" s="56">
        <v>3.683676510704152</v>
      </c>
      <c r="D22" s="56">
        <v>3.4686742378278934</v>
      </c>
      <c r="E22" s="66">
        <v>3.6532034976536161</v>
      </c>
      <c r="F22" s="66">
        <v>3.3652957400665469</v>
      </c>
      <c r="G22" s="66">
        <v>3.3612381633623687</v>
      </c>
      <c r="H22" s="66">
        <v>3.3949633719145198</v>
      </c>
      <c r="I22" s="66">
        <v>3.3556575673980835</v>
      </c>
      <c r="J22" s="66">
        <v>3.5264265124306937</v>
      </c>
      <c r="K22" s="66">
        <v>3.5271614465689214</v>
      </c>
      <c r="L22" s="66">
        <v>3.5412080527576633</v>
      </c>
      <c r="M22" s="66">
        <v>3.6232739536633183</v>
      </c>
      <c r="N22" s="66">
        <v>3.664537447707386</v>
      </c>
      <c r="O22" s="66">
        <v>3.6532034976536161</v>
      </c>
      <c r="P22" s="66">
        <v>3.6171563579000718</v>
      </c>
      <c r="Q22" s="66">
        <v>3.5668928989392237</v>
      </c>
      <c r="R22" s="66">
        <v>3.5417224723249396</v>
      </c>
      <c r="S22" s="100"/>
      <c r="T22" s="100"/>
      <c r="U22" s="100"/>
    </row>
    <row r="23" spans="2:26" ht="15" customHeight="1" x14ac:dyDescent="0.25">
      <c r="B23" s="15" t="s">
        <v>1</v>
      </c>
      <c r="C23" s="56">
        <v>0.55919250180245128</v>
      </c>
      <c r="D23" s="56">
        <v>0.32432687765706192</v>
      </c>
      <c r="E23" s="66">
        <v>0.12137681159420291</v>
      </c>
      <c r="F23" s="66">
        <v>0.55733618233618221</v>
      </c>
      <c r="G23" s="66">
        <v>0.50218268420526446</v>
      </c>
      <c r="H23" s="66">
        <v>0.4278951995632817</v>
      </c>
      <c r="I23" s="66">
        <v>0.34456186622994839</v>
      </c>
      <c r="J23" s="66">
        <v>0.28377830351364652</v>
      </c>
      <c r="K23" s="66">
        <v>0.27743206808505239</v>
      </c>
      <c r="L23" s="66">
        <v>0.22558671188724239</v>
      </c>
      <c r="M23" s="66">
        <v>0.16883927796054957</v>
      </c>
      <c r="N23" s="66">
        <v>0.14629629629629631</v>
      </c>
      <c r="O23" s="66">
        <v>0.12137681159420291</v>
      </c>
      <c r="P23" s="66">
        <v>7.4999999999999997E-2</v>
      </c>
      <c r="Q23" s="66">
        <v>0.35416599826388895</v>
      </c>
      <c r="R23" s="66">
        <v>0.42444214360761157</v>
      </c>
      <c r="S23" s="100"/>
      <c r="T23" s="100"/>
      <c r="U23" s="100"/>
    </row>
    <row r="24" spans="2:26" s="79" customFormat="1" ht="15" customHeight="1" x14ac:dyDescent="0.25">
      <c r="B24" s="14" t="s">
        <v>2</v>
      </c>
      <c r="C24" s="65">
        <v>3.4986776751361037</v>
      </c>
      <c r="D24" s="65">
        <v>3.7302427754491152</v>
      </c>
      <c r="E24" s="65">
        <v>6.7301454281057316</v>
      </c>
      <c r="F24" s="65">
        <v>3.5260765275711359</v>
      </c>
      <c r="G24" s="65">
        <v>3.6024573386567296</v>
      </c>
      <c r="H24" s="65">
        <v>3.5145408015745123</v>
      </c>
      <c r="I24" s="65">
        <v>3.4173060047307509</v>
      </c>
      <c r="J24" s="65">
        <v>4.7411429441667572</v>
      </c>
      <c r="K24" s="65">
        <v>4.7411429441667572</v>
      </c>
      <c r="L24" s="65">
        <v>4.6213591088641071</v>
      </c>
      <c r="M24" s="65">
        <v>4.534628934641165</v>
      </c>
      <c r="N24" s="65">
        <v>4.5763231059609053</v>
      </c>
      <c r="O24" s="65">
        <v>6.7301454281057316</v>
      </c>
      <c r="P24" s="65">
        <v>6.6720692533127854</v>
      </c>
      <c r="Q24" s="65">
        <v>6.6128655846021438</v>
      </c>
      <c r="R24" s="65">
        <v>6.5888081729434287</v>
      </c>
      <c r="S24" s="65"/>
      <c r="T24" s="65"/>
      <c r="U24" s="65"/>
    </row>
    <row r="25" spans="2:26" ht="15" customHeight="1" x14ac:dyDescent="0.25">
      <c r="B25" s="16" t="s">
        <v>13</v>
      </c>
      <c r="C25" s="56"/>
      <c r="D25" s="56"/>
    </row>
    <row r="26" spans="2:26" ht="15" customHeight="1" x14ac:dyDescent="0.25">
      <c r="B26" s="15" t="s">
        <v>55</v>
      </c>
      <c r="C26" s="56">
        <v>3.7511272792877897</v>
      </c>
      <c r="D26" s="56">
        <v>2.8973832045701666</v>
      </c>
      <c r="E26" s="66">
        <v>1.8354246680796731</v>
      </c>
      <c r="F26" s="66">
        <v>2.63</v>
      </c>
      <c r="G26" s="66">
        <v>2.54845706379791</v>
      </c>
      <c r="H26" s="66">
        <v>2.4635255569485941</v>
      </c>
      <c r="I26" s="66">
        <v>2.3813337761266768</v>
      </c>
      <c r="J26" s="66">
        <v>2.2964022692773618</v>
      </c>
      <c r="K26" s="66">
        <v>2.2114707624280463</v>
      </c>
      <c r="L26" s="66">
        <v>2.1292789816061291</v>
      </c>
      <c r="M26" s="66">
        <v>2.0443474747568136</v>
      </c>
      <c r="N26" s="66">
        <v>1.9203561749289899</v>
      </c>
      <c r="O26" s="66">
        <v>1.8354246680796731</v>
      </c>
      <c r="P26" s="66">
        <v>1.7504931612303583</v>
      </c>
      <c r="Q26" s="66">
        <v>1.6737808324632348</v>
      </c>
      <c r="R26" s="66">
        <v>1.5888493256139198</v>
      </c>
      <c r="S26" s="101"/>
      <c r="T26" s="101"/>
      <c r="U26" s="101"/>
    </row>
    <row r="27" spans="2:26" s="11" customFormat="1" ht="15" customHeight="1" x14ac:dyDescent="0.25">
      <c r="B27" s="15" t="s">
        <v>21</v>
      </c>
      <c r="C27" s="56">
        <v>4.9288527990901692</v>
      </c>
      <c r="D27" s="56">
        <v>4.7035560150432367</v>
      </c>
      <c r="E27" s="66">
        <v>3.6819706494810363</v>
      </c>
      <c r="F27" s="66">
        <v>4.4489740223418641</v>
      </c>
      <c r="G27" s="66">
        <v>4.3640425154925495</v>
      </c>
      <c r="H27" s="66">
        <v>4.279111008643234</v>
      </c>
      <c r="I27" s="66">
        <v>4.1969192278213168</v>
      </c>
      <c r="J27" s="66">
        <v>4.1119877209720013</v>
      </c>
      <c r="K27" s="66">
        <v>4.0270562141226858</v>
      </c>
      <c r="L27" s="66">
        <v>3.934025444001584</v>
      </c>
      <c r="M27" s="66">
        <v>3.85</v>
      </c>
      <c r="N27" s="66">
        <v>3.76690215633035</v>
      </c>
      <c r="O27" s="66">
        <v>3.6819706494810363</v>
      </c>
      <c r="P27" s="66">
        <v>3.5970391426317212</v>
      </c>
      <c r="Q27" s="66">
        <v>3.4820756199621989</v>
      </c>
      <c r="R27" s="66">
        <v>3.3859366389031447</v>
      </c>
      <c r="S27" s="101"/>
      <c r="T27" s="101"/>
      <c r="U27" s="101"/>
    </row>
    <row r="28" spans="2:26" ht="15" customHeight="1" x14ac:dyDescent="0.25">
      <c r="B28" s="15" t="s">
        <v>22</v>
      </c>
      <c r="C28" s="56">
        <v>3.8121945012417404</v>
      </c>
      <c r="D28" s="56">
        <v>2.7931283942611658</v>
      </c>
      <c r="E28" s="66">
        <v>1.7771366682616407</v>
      </c>
      <c r="F28" s="66">
        <v>2.5443907811565447</v>
      </c>
      <c r="G28" s="66">
        <v>2.4594592743072301</v>
      </c>
      <c r="H28" s="66">
        <v>2.3692151426139949</v>
      </c>
      <c r="I28" s="66">
        <v>2.2870233617920772</v>
      </c>
      <c r="J28" s="66">
        <v>2.2020918549427622</v>
      </c>
      <c r="K28" s="66">
        <v>2.1113832436041062</v>
      </c>
      <c r="L28" s="66">
        <v>2.0291914627821885</v>
      </c>
      <c r="M28" s="66">
        <v>1.94</v>
      </c>
      <c r="N28" s="66">
        <v>1.8620681751109558</v>
      </c>
      <c r="O28" s="66">
        <v>1.7771366682616407</v>
      </c>
      <c r="P28" s="66">
        <v>1.6922051614123257</v>
      </c>
      <c r="Q28" s="66">
        <v>1.6091875501863637</v>
      </c>
      <c r="R28" s="66">
        <v>1.5242560433370487</v>
      </c>
      <c r="S28" s="66"/>
      <c r="T28" s="66"/>
      <c r="U28" s="66"/>
    </row>
    <row r="29" spans="2:26" s="79" customFormat="1" ht="15" customHeight="1" x14ac:dyDescent="0.25">
      <c r="B29" s="14" t="s">
        <v>3</v>
      </c>
      <c r="C29" s="65">
        <v>6.4389857913068624</v>
      </c>
      <c r="D29" s="65">
        <v>5.9049629317430483</v>
      </c>
      <c r="E29" s="65">
        <v>9.2253476560457113</v>
      </c>
      <c r="F29" s="65">
        <v>5.7022543480018841</v>
      </c>
      <c r="G29" s="65">
        <v>5.6173228411525686</v>
      </c>
      <c r="H29" s="65">
        <v>5.8321051652491045</v>
      </c>
      <c r="I29" s="65">
        <v>5.7214223600922143</v>
      </c>
      <c r="J29" s="65">
        <v>5.6301663141277496</v>
      </c>
      <c r="K29" s="65">
        <v>5.5452348072784341</v>
      </c>
      <c r="L29" s="65">
        <v>5.5362360770476871</v>
      </c>
      <c r="M29" s="65">
        <v>8.99</v>
      </c>
      <c r="N29" s="65">
        <v>9.3175594859580766</v>
      </c>
      <c r="O29" s="65">
        <v>9.2253476560457113</v>
      </c>
      <c r="P29" s="65">
        <v>9.1762869292159763</v>
      </c>
      <c r="Q29" s="65">
        <v>9.099574600448852</v>
      </c>
      <c r="R29" s="65">
        <v>9.2000293354102514</v>
      </c>
      <c r="S29" s="65"/>
      <c r="T29" s="65"/>
      <c r="U29" s="65"/>
      <c r="Z29" s="1"/>
    </row>
    <row r="30" spans="2:26" ht="15" customHeight="1" x14ac:dyDescent="0.25">
      <c r="B30" s="15" t="s">
        <v>23</v>
      </c>
      <c r="C30" s="56">
        <v>6.5643835616438357</v>
      </c>
      <c r="D30" s="56">
        <v>5.5616438356164384</v>
      </c>
      <c r="E30" s="66">
        <v>4.5616438356164384</v>
      </c>
      <c r="F30" s="66">
        <v>5.3178082191780822</v>
      </c>
      <c r="G30" s="66">
        <v>5.2328767123287667</v>
      </c>
      <c r="H30" s="66">
        <v>5.1479452054794521</v>
      </c>
      <c r="I30" s="66">
        <v>5.065753424657534</v>
      </c>
      <c r="J30" s="66">
        <v>4.9808219178082194</v>
      </c>
      <c r="K30" s="66">
        <v>4.8958904109589039</v>
      </c>
      <c r="L30" s="66">
        <v>4.8136986301369866</v>
      </c>
      <c r="M30" s="66">
        <v>4.7300000000000004</v>
      </c>
      <c r="N30" s="66">
        <v>4.646575342465753</v>
      </c>
      <c r="O30" s="66">
        <v>4.5616438356164384</v>
      </c>
      <c r="P30" s="66">
        <v>4.4767123287671229</v>
      </c>
      <c r="Q30" s="66">
        <v>4.4000000000000004</v>
      </c>
      <c r="R30" s="66">
        <v>4.3150684931506849</v>
      </c>
    </row>
    <row r="31" spans="2:26" ht="15" customHeight="1" x14ac:dyDescent="0.25">
      <c r="B31" s="15"/>
      <c r="S31" s="34"/>
      <c r="T31" s="34"/>
      <c r="U31" s="34"/>
    </row>
    <row r="32" spans="2:26" ht="15" customHeight="1" x14ac:dyDescent="0.25">
      <c r="B32" s="13" t="s">
        <v>24</v>
      </c>
    </row>
    <row r="33" spans="2:21" s="79" customFormat="1" ht="15" customHeight="1" x14ac:dyDescent="0.25">
      <c r="B33" s="14" t="s">
        <v>54</v>
      </c>
      <c r="C33" s="62">
        <v>3.4480750131178503E-2</v>
      </c>
      <c r="D33" s="62">
        <v>3.3009849702654748E-2</v>
      </c>
      <c r="E33" s="62">
        <v>3.1545961397690434E-2</v>
      </c>
      <c r="F33" s="62">
        <v>3.2623218350655778E-2</v>
      </c>
      <c r="G33" s="62">
        <v>3.1816333720281899E-2</v>
      </c>
      <c r="H33" s="62">
        <v>3.1166950534878217E-2</v>
      </c>
      <c r="I33" s="62">
        <v>3.107980598313961E-2</v>
      </c>
      <c r="J33" s="62">
        <v>3.0968051729561807E-2</v>
      </c>
      <c r="K33" s="62">
        <v>3.1158852995349207E-2</v>
      </c>
      <c r="L33" s="62">
        <v>3.1092839270892687E-2</v>
      </c>
      <c r="M33" s="62">
        <v>3.1076274657960319E-2</v>
      </c>
      <c r="N33" s="62">
        <v>3.1331796853119299E-2</v>
      </c>
      <c r="O33" s="62">
        <v>3.1545961397690434E-2</v>
      </c>
      <c r="P33" s="62">
        <v>3.1570410422522191E-2</v>
      </c>
      <c r="Q33" s="62">
        <v>3.1286698740476383E-2</v>
      </c>
      <c r="R33" s="62">
        <v>3.1137596046550579E-2</v>
      </c>
      <c r="S33" s="62"/>
      <c r="T33" s="62"/>
      <c r="U33" s="62"/>
    </row>
    <row r="34" spans="2:21" ht="15" customHeight="1" x14ac:dyDescent="0.25">
      <c r="B34" s="15" t="s">
        <v>0</v>
      </c>
      <c r="C34" s="29">
        <v>3.499724021698402E-2</v>
      </c>
      <c r="D34" s="29">
        <v>3.3630774385867174E-2</v>
      </c>
      <c r="E34" s="29">
        <v>3.1972856022267425E-2</v>
      </c>
      <c r="F34" s="29">
        <v>3.347622069610405E-2</v>
      </c>
      <c r="G34" s="29">
        <v>3.3311259103074572E-2</v>
      </c>
      <c r="H34" s="29">
        <v>3.3051614299682723E-2</v>
      </c>
      <c r="I34" s="29">
        <v>3.2979766307053723E-2</v>
      </c>
      <c r="J34" s="29">
        <v>3.2640097721708602E-2</v>
      </c>
      <c r="K34" s="29">
        <v>3.2497443034386474E-2</v>
      </c>
      <c r="L34" s="29">
        <v>3.2279294733271187E-2</v>
      </c>
      <c r="M34" s="29">
        <v>3.2091706967350871E-2</v>
      </c>
      <c r="N34" s="29">
        <v>3.205790225765396E-2</v>
      </c>
      <c r="O34" s="29">
        <v>3.1972856022267425E-2</v>
      </c>
      <c r="P34" s="29">
        <v>3.1868750560512762E-2</v>
      </c>
      <c r="Q34" s="29">
        <v>3.1855791310503458E-2</v>
      </c>
      <c r="R34" s="29">
        <v>3.1797711697832472E-2</v>
      </c>
      <c r="S34" s="29"/>
      <c r="T34" s="29"/>
      <c r="U34" s="29"/>
    </row>
    <row r="35" spans="2:21" ht="15" customHeight="1" x14ac:dyDescent="0.25">
      <c r="B35" s="15" t="s">
        <v>1</v>
      </c>
      <c r="C35" s="28">
        <v>0.01</v>
      </c>
      <c r="D35" s="28">
        <v>1.2823275862068967E-2</v>
      </c>
      <c r="E35" s="29">
        <v>1.3559782608695652E-2</v>
      </c>
      <c r="F35" s="29">
        <v>1.2868589743589743E-2</v>
      </c>
      <c r="G35" s="29">
        <v>1.2982177542596798E-2</v>
      </c>
      <c r="H35" s="29">
        <v>1.3279541642925488E-2</v>
      </c>
      <c r="I35" s="29">
        <v>1.3279541642925488E-2</v>
      </c>
      <c r="J35" s="29">
        <v>1.3292118127811944E-2</v>
      </c>
      <c r="K35" s="29">
        <v>1.3544540968621909E-2</v>
      </c>
      <c r="L35" s="29">
        <v>1.3437414338004099E-2</v>
      </c>
      <c r="M35" s="29">
        <v>1.3397643001254157E-2</v>
      </c>
      <c r="N35" s="29">
        <v>1.3253205128205128E-2</v>
      </c>
      <c r="O35" s="29">
        <v>1.3559782608695652E-2</v>
      </c>
      <c r="P35" s="29">
        <v>1.375E-2</v>
      </c>
      <c r="Q35" s="29">
        <v>1.4218728515625001E-2</v>
      </c>
      <c r="R35" s="29">
        <v>1.5374952244161849E-2</v>
      </c>
      <c r="S35" s="29"/>
      <c r="T35" s="29"/>
      <c r="U35" s="29"/>
    </row>
    <row r="36" spans="2:21" s="79" customFormat="1" ht="15" customHeight="1" x14ac:dyDescent="0.25">
      <c r="B36" s="14" t="s">
        <v>2</v>
      </c>
      <c r="C36" s="62">
        <v>4.4570407296134061E-2</v>
      </c>
      <c r="D36" s="62">
        <v>4.6210765873737708E-2</v>
      </c>
      <c r="E36" s="62">
        <v>5.2488860926894303E-2</v>
      </c>
      <c r="F36" s="62">
        <v>4.616453474380567E-2</v>
      </c>
      <c r="G36" s="62">
        <v>4.6064910523328569E-2</v>
      </c>
      <c r="H36" s="62">
        <v>4.6017924357130785E-2</v>
      </c>
      <c r="I36" s="62">
        <v>4.599954116947718E-2</v>
      </c>
      <c r="J36" s="62">
        <v>4.6163909850428321E-2</v>
      </c>
      <c r="K36" s="62">
        <v>4.6149591925775994E-2</v>
      </c>
      <c r="L36" s="62">
        <v>4.6297378649205058E-2</v>
      </c>
      <c r="M36" s="62">
        <v>4.6281492504055492E-2</v>
      </c>
      <c r="N36" s="62">
        <v>4.5750712197419406E-2</v>
      </c>
      <c r="O36" s="62">
        <v>5.2488860926894303E-2</v>
      </c>
      <c r="P36" s="62">
        <v>5.2492426595901094E-2</v>
      </c>
      <c r="Q36" s="62">
        <v>5.250829372699567E-2</v>
      </c>
      <c r="R36" s="62">
        <v>5.2708344039040539E-2</v>
      </c>
      <c r="S36" s="62"/>
      <c r="T36" s="62"/>
      <c r="U36" s="62"/>
    </row>
    <row r="37" spans="2:21" ht="15" customHeight="1" x14ac:dyDescent="0.25">
      <c r="B37" s="16" t="s">
        <v>13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2:21" ht="15" customHeight="1" x14ac:dyDescent="0.25">
      <c r="B38" s="15" t="s">
        <v>55</v>
      </c>
      <c r="C38" s="29">
        <v>4.8633656287721726E-2</v>
      </c>
      <c r="D38" s="29">
        <v>4.8633656287721726E-2</v>
      </c>
      <c r="E38" s="29">
        <v>4.6770462273064854E-2</v>
      </c>
      <c r="F38" s="29">
        <v>4.8030643351787833E-2</v>
      </c>
      <c r="G38" s="29">
        <v>4.8030643351787833E-2</v>
      </c>
      <c r="H38" s="29">
        <v>4.8030643351787833E-2</v>
      </c>
      <c r="I38" s="29">
        <v>4.8030643351787833E-2</v>
      </c>
      <c r="J38" s="29">
        <v>4.8030643351787833E-2</v>
      </c>
      <c r="K38" s="29">
        <v>4.8030643351787833E-2</v>
      </c>
      <c r="L38" s="29">
        <v>4.8030643351787833E-2</v>
      </c>
      <c r="M38" s="29">
        <v>4.8030643351787833E-2</v>
      </c>
      <c r="N38" s="29">
        <v>4.6770462273064854E-2</v>
      </c>
      <c r="O38" s="29">
        <v>4.6770462273064854E-2</v>
      </c>
      <c r="P38" s="29">
        <v>4.6770462273064854E-2</v>
      </c>
      <c r="Q38" s="29">
        <v>4.6770462273064854E-2</v>
      </c>
      <c r="R38" s="29">
        <v>4.6770462273064854E-2</v>
      </c>
      <c r="S38" s="29"/>
      <c r="T38" s="29"/>
      <c r="U38" s="29"/>
    </row>
    <row r="39" spans="2:21" ht="15" customHeight="1" x14ac:dyDescent="0.25">
      <c r="B39" s="15" t="s">
        <v>21</v>
      </c>
      <c r="C39" s="29">
        <v>3.8681865335103496E-2</v>
      </c>
      <c r="D39" s="29">
        <v>4.0447076842233434E-2</v>
      </c>
      <c r="E39" s="29">
        <v>4.045092978230793E-2</v>
      </c>
      <c r="F39" s="29">
        <v>4.0447076842233434E-2</v>
      </c>
      <c r="G39" s="29">
        <v>4.0447076842233434E-2</v>
      </c>
      <c r="H39" s="29">
        <v>4.0448995046659483E-2</v>
      </c>
      <c r="I39" s="29">
        <v>4.0448995046659483E-2</v>
      </c>
      <c r="J39" s="29">
        <v>4.0448995046659483E-2</v>
      </c>
      <c r="K39" s="29">
        <v>4.0448995046659483E-2</v>
      </c>
      <c r="L39" s="29">
        <v>4.045092978230793E-2</v>
      </c>
      <c r="M39" s="29">
        <v>4.0500000000000001E-2</v>
      </c>
      <c r="N39" s="29">
        <v>4.0450929782307903E-2</v>
      </c>
      <c r="O39" s="29">
        <v>4.045092978230793E-2</v>
      </c>
      <c r="P39" s="29">
        <v>4.045092978230793E-2</v>
      </c>
      <c r="Q39" s="29">
        <v>4.0381917627183787E-2</v>
      </c>
      <c r="R39" s="29">
        <v>4.0383586698121622E-2</v>
      </c>
      <c r="S39" s="29"/>
      <c r="T39" s="29"/>
      <c r="U39" s="29"/>
    </row>
    <row r="40" spans="2:21" ht="15" customHeight="1" x14ac:dyDescent="0.25">
      <c r="B40" s="15" t="s">
        <v>22</v>
      </c>
      <c r="C40" s="29">
        <v>4.5355541319666882E-2</v>
      </c>
      <c r="D40" s="29">
        <v>4.4637573964497038E-2</v>
      </c>
      <c r="E40" s="29">
        <v>4.3934323363313113E-2</v>
      </c>
      <c r="F40" s="29">
        <v>4.4422004231582997E-2</v>
      </c>
      <c r="G40" s="29">
        <v>4.4422004231582997E-2</v>
      </c>
      <c r="H40" s="29">
        <v>4.4188376753507022E-2</v>
      </c>
      <c r="I40" s="29">
        <v>4.4188376753507022E-2</v>
      </c>
      <c r="J40" s="29">
        <v>4.4188376753507022E-2</v>
      </c>
      <c r="K40" s="29">
        <v>4.3934323363313113E-2</v>
      </c>
      <c r="L40" s="29">
        <v>4.3934323363313113E-2</v>
      </c>
      <c r="M40" s="29">
        <v>4.3900000000000002E-2</v>
      </c>
      <c r="N40" s="29">
        <v>4.3934323363313113E-2</v>
      </c>
      <c r="O40" s="29">
        <v>4.3934323363313113E-2</v>
      </c>
      <c r="P40" s="29">
        <v>4.3934323363313113E-2</v>
      </c>
      <c r="Q40" s="29">
        <v>4.3657042869641297E-2</v>
      </c>
      <c r="R40" s="29">
        <v>4.3657042869641297E-2</v>
      </c>
      <c r="S40" s="29"/>
      <c r="T40" s="29"/>
      <c r="U40" s="29"/>
    </row>
    <row r="41" spans="2:21" ht="15" customHeight="1" x14ac:dyDescent="0.25">
      <c r="B41" s="14" t="s">
        <v>3</v>
      </c>
      <c r="C41" s="62">
        <v>4.1938634723270266E-2</v>
      </c>
      <c r="D41" s="62">
        <v>4.2653816746481936E-2</v>
      </c>
      <c r="E41" s="62">
        <v>4.3540709562787848E-2</v>
      </c>
      <c r="F41" s="62">
        <v>4.2571681757933945E-2</v>
      </c>
      <c r="G41" s="62">
        <v>4.2571681757933945E-2</v>
      </c>
      <c r="H41" s="62">
        <v>4.312413667756429E-2</v>
      </c>
      <c r="I41" s="62">
        <v>4.3138359353323691E-2</v>
      </c>
      <c r="J41" s="62">
        <v>4.2919727862941612E-2</v>
      </c>
      <c r="K41" s="62">
        <v>4.2919727862941612E-2</v>
      </c>
      <c r="L41" s="62">
        <v>4.3074855869155118E-2</v>
      </c>
      <c r="M41" s="62">
        <v>4.311213192164319E-2</v>
      </c>
      <c r="N41" s="62">
        <v>4.3529397494986348E-2</v>
      </c>
      <c r="O41" s="62">
        <v>4.3540709562787848E-2</v>
      </c>
      <c r="P41" s="62">
        <v>4.3391483519984668E-2</v>
      </c>
      <c r="Q41" s="62">
        <v>4.3391483519984668E-2</v>
      </c>
      <c r="R41" s="62">
        <v>4.3514394114044536E-2</v>
      </c>
      <c r="S41" s="65"/>
      <c r="T41" s="102"/>
      <c r="U41" s="102"/>
    </row>
    <row r="42" spans="2:21" ht="15" customHeight="1" x14ac:dyDescent="0.25">
      <c r="B42" s="21" t="s">
        <v>23</v>
      </c>
      <c r="C42" s="83">
        <v>6.9000000000000006E-2</v>
      </c>
      <c r="D42" s="83">
        <v>6.9000000000000006E-2</v>
      </c>
      <c r="E42" s="83">
        <v>6.9000000000000006E-2</v>
      </c>
      <c r="F42" s="83">
        <v>6.9000000000000006E-2</v>
      </c>
      <c r="G42" s="83">
        <v>6.9000000000000006E-2</v>
      </c>
      <c r="H42" s="83">
        <v>6.9000000000000006E-2</v>
      </c>
      <c r="I42" s="83">
        <v>6.9000000000000006E-2</v>
      </c>
      <c r="J42" s="83">
        <v>6.9000000000000006E-2</v>
      </c>
      <c r="K42" s="83">
        <v>6.9000000000000006E-2</v>
      </c>
      <c r="L42" s="83">
        <v>6.9000000000000006E-2</v>
      </c>
      <c r="M42" s="83">
        <v>6.9000000000000006E-2</v>
      </c>
      <c r="N42" s="83">
        <v>6.9000000000000006E-2</v>
      </c>
      <c r="O42" s="83">
        <v>6.9000000000000006E-2</v>
      </c>
      <c r="P42" s="83">
        <v>6.9000000000000006E-2</v>
      </c>
      <c r="Q42" s="83">
        <v>6.9000000000000006E-2</v>
      </c>
      <c r="R42" s="83">
        <v>6.9000000000000006E-2</v>
      </c>
      <c r="S42" s="29"/>
      <c r="T42" s="29"/>
      <c r="U42" s="29"/>
    </row>
    <row r="43" spans="2:21" ht="15" customHeight="1" x14ac:dyDescent="0.25">
      <c r="B43" s="17" t="s">
        <v>111</v>
      </c>
    </row>
    <row r="44" spans="2:21" ht="15" customHeight="1" x14ac:dyDescent="0.25">
      <c r="B44" s="17" t="s">
        <v>66</v>
      </c>
    </row>
    <row r="45" spans="2:21" ht="15" customHeight="1" x14ac:dyDescent="0.25">
      <c r="B45" s="17" t="s">
        <v>103</v>
      </c>
    </row>
    <row r="46" spans="2:21" ht="15" customHeight="1" x14ac:dyDescent="0.25">
      <c r="B46" s="17" t="s">
        <v>104</v>
      </c>
    </row>
    <row r="47" spans="2:21" ht="15" customHeight="1" x14ac:dyDescent="0.25">
      <c r="B47" s="17"/>
    </row>
  </sheetData>
  <sheetProtection algorithmName="SHA-512" hashValue="9ns2Ygemvy93szTr5C2Juz0hypkIYxKFJ598kkt+Wldbu/+L94bzNxTrlpr8jYKowr7iJUTHWJnNtViSyt55Ig==" saltValue="62oGxVruzZ3pztYiAd2pxw==" spinCount="100000" sheet="1" objects="1" scenarios="1"/>
  <mergeCells count="16">
    <mergeCell ref="P4:P5"/>
    <mergeCell ref="O4:O5"/>
    <mergeCell ref="Q4:Q5"/>
    <mergeCell ref="R4:R5"/>
    <mergeCell ref="M4:M5"/>
    <mergeCell ref="L4:L5"/>
    <mergeCell ref="N4:N5"/>
    <mergeCell ref="E4:E5"/>
    <mergeCell ref="C4:C5"/>
    <mergeCell ref="K4:K5"/>
    <mergeCell ref="J4:J5"/>
    <mergeCell ref="I4:I5"/>
    <mergeCell ref="H4:H5"/>
    <mergeCell ref="F4:F5"/>
    <mergeCell ref="G4:G5"/>
    <mergeCell ref="D4:D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R28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W1" activeCellId="2" sqref="C1:C1048576 G1:I1048576 W1:X1048576"/>
    </sheetView>
  </sheetViews>
  <sheetFormatPr defaultRowHeight="15" x14ac:dyDescent="0.25"/>
  <cols>
    <col min="1" max="1" width="3.7109375" style="1" customWidth="1"/>
    <col min="2" max="2" width="60.7109375" style="1" customWidth="1"/>
    <col min="3" max="18" width="10.7109375" style="1" customWidth="1"/>
    <col min="19" max="16384" width="9.140625" style="1"/>
  </cols>
  <sheetData>
    <row r="3" spans="2:18" ht="15.75" x14ac:dyDescent="0.25">
      <c r="B3" s="19" t="s">
        <v>69</v>
      </c>
      <c r="P3" s="115"/>
    </row>
    <row r="4" spans="2:18" x14ac:dyDescent="0.25">
      <c r="B4" s="11"/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</row>
    <row r="5" spans="2:18" x14ac:dyDescent="0.25">
      <c r="B5" s="11"/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x14ac:dyDescent="0.25">
      <c r="B6" s="11"/>
      <c r="C6" s="66"/>
      <c r="D6" s="66"/>
      <c r="E6" s="66"/>
    </row>
    <row r="7" spans="2:18" x14ac:dyDescent="0.25">
      <c r="B7" s="22" t="s">
        <v>18</v>
      </c>
      <c r="C7" s="81">
        <v>4</v>
      </c>
      <c r="D7" s="81">
        <v>4</v>
      </c>
      <c r="E7" s="81">
        <v>4</v>
      </c>
      <c r="F7" s="81">
        <v>4</v>
      </c>
      <c r="G7" s="81">
        <v>4</v>
      </c>
      <c r="H7" s="81">
        <v>4</v>
      </c>
      <c r="I7" s="81">
        <v>4</v>
      </c>
      <c r="J7" s="81">
        <v>4</v>
      </c>
      <c r="K7" s="81">
        <v>4</v>
      </c>
      <c r="L7" s="81">
        <v>4</v>
      </c>
      <c r="M7" s="81">
        <v>4</v>
      </c>
      <c r="N7" s="81">
        <v>4</v>
      </c>
      <c r="O7" s="81">
        <v>4</v>
      </c>
      <c r="P7" s="81">
        <v>4</v>
      </c>
      <c r="Q7" s="81">
        <v>4</v>
      </c>
      <c r="R7" s="81">
        <v>4</v>
      </c>
    </row>
    <row r="8" spans="2:18" x14ac:dyDescent="0.25">
      <c r="B8" s="26" t="s">
        <v>59</v>
      </c>
      <c r="C8" s="68">
        <v>2</v>
      </c>
      <c r="D8" s="68">
        <v>2</v>
      </c>
      <c r="E8" s="68">
        <v>2</v>
      </c>
      <c r="F8" s="68">
        <v>2</v>
      </c>
      <c r="G8" s="68">
        <v>2</v>
      </c>
      <c r="H8" s="68">
        <v>2</v>
      </c>
      <c r="I8" s="68">
        <v>2</v>
      </c>
      <c r="J8" s="68">
        <v>2</v>
      </c>
      <c r="K8" s="68">
        <v>2</v>
      </c>
      <c r="L8" s="68">
        <v>2</v>
      </c>
      <c r="M8" s="68">
        <v>2</v>
      </c>
      <c r="N8" s="68">
        <v>2</v>
      </c>
      <c r="O8" s="68">
        <v>2</v>
      </c>
      <c r="P8" s="68">
        <v>2</v>
      </c>
      <c r="Q8" s="68">
        <v>2</v>
      </c>
      <c r="R8" s="68">
        <v>2</v>
      </c>
    </row>
    <row r="9" spans="2:18" x14ac:dyDescent="0.25">
      <c r="B9" s="22"/>
      <c r="C9" s="66"/>
      <c r="D9" s="66"/>
    </row>
    <row r="10" spans="2:18" x14ac:dyDescent="0.25">
      <c r="B10" s="22" t="s">
        <v>81</v>
      </c>
      <c r="C10" s="38">
        <v>12564.4545</v>
      </c>
      <c r="D10" s="38">
        <v>20693.4306</v>
      </c>
      <c r="E10" s="38">
        <v>30446.758999999998</v>
      </c>
      <c r="F10" s="38">
        <v>25286.875599999999</v>
      </c>
      <c r="G10" s="38">
        <v>26137.412499999999</v>
      </c>
      <c r="H10" s="38">
        <v>30013.59</v>
      </c>
      <c r="I10" s="38">
        <v>28547.6008</v>
      </c>
      <c r="J10" s="38">
        <v>31737.768499999998</v>
      </c>
      <c r="K10" s="38">
        <v>31781.769899999999</v>
      </c>
      <c r="L10" s="38">
        <v>31475.02</v>
      </c>
      <c r="M10" s="38">
        <v>33931.684999999998</v>
      </c>
      <c r="N10" s="38">
        <v>32797.332000000002</v>
      </c>
      <c r="O10" s="38">
        <v>30446.758999999998</v>
      </c>
      <c r="P10" s="38">
        <v>33027.530500000001</v>
      </c>
      <c r="Q10" s="38">
        <v>32947.553999999996</v>
      </c>
      <c r="R10" s="38">
        <v>33278.165999999997</v>
      </c>
    </row>
    <row r="11" spans="2:18" x14ac:dyDescent="0.25">
      <c r="B11" s="26"/>
      <c r="C11" s="36"/>
      <c r="D11" s="36"/>
      <c r="E11" s="36"/>
    </row>
    <row r="12" spans="2:18" x14ac:dyDescent="0.25">
      <c r="B12" s="13" t="s">
        <v>19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</row>
    <row r="13" spans="2:18" x14ac:dyDescent="0.25">
      <c r="B13" s="11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2:18" x14ac:dyDescent="0.25">
      <c r="B14" s="13" t="s">
        <v>20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</row>
    <row r="15" spans="2:18" x14ac:dyDescent="0.25">
      <c r="B15" s="11"/>
      <c r="C15" s="36"/>
      <c r="D15" s="36"/>
      <c r="E15" s="36"/>
    </row>
    <row r="16" spans="2:18" ht="17.25" x14ac:dyDescent="0.25">
      <c r="B16" s="13" t="s">
        <v>101</v>
      </c>
      <c r="C16" s="38">
        <v>0</v>
      </c>
      <c r="D16" s="86">
        <v>1502.94552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2:18" x14ac:dyDescent="0.25">
      <c r="B17" s="11"/>
      <c r="C17" s="36"/>
      <c r="D17" s="36"/>
      <c r="E17" s="36"/>
    </row>
    <row r="18" spans="2:18" x14ac:dyDescent="0.25">
      <c r="B18" s="13" t="s">
        <v>133</v>
      </c>
      <c r="C18" s="38">
        <v>160.288465</v>
      </c>
      <c r="D18" s="38">
        <v>3027.7088869999998</v>
      </c>
      <c r="E18" s="38">
        <v>751.61991699999987</v>
      </c>
      <c r="F18" s="38">
        <f t="shared" ref="F18:H18" si="0">SUM(F20:F22)</f>
        <v>4.8646799999999999</v>
      </c>
      <c r="G18" s="38">
        <f t="shared" si="0"/>
        <v>10.301030000000001</v>
      </c>
      <c r="H18" s="38">
        <f t="shared" si="0"/>
        <v>16.466149999999999</v>
      </c>
      <c r="I18" s="38">
        <f t="shared" ref="I18:J18" si="1">SUM(I20:I22)</f>
        <v>72.894239999999996</v>
      </c>
      <c r="J18" s="38">
        <f t="shared" si="1"/>
        <v>453.43006199999996</v>
      </c>
      <c r="K18" s="38">
        <f t="shared" ref="K18:R18" si="2">SUM(K20:K22)</f>
        <v>19.428540000000002</v>
      </c>
      <c r="L18" s="38">
        <f t="shared" si="2"/>
        <v>14.4834</v>
      </c>
      <c r="M18" s="38">
        <f t="shared" si="2"/>
        <v>5.4950999999999999</v>
      </c>
      <c r="N18" s="38">
        <f>SUM(N20:N22)</f>
        <v>6.4158799999999996</v>
      </c>
      <c r="O18" s="38">
        <f>SUM(O20:O22)</f>
        <v>131.469875</v>
      </c>
      <c r="P18" s="86">
        <f>SUM(P20:P22)</f>
        <v>9133.9947570000004</v>
      </c>
      <c r="Q18" s="38">
        <f t="shared" si="2"/>
        <v>227.49540500000001</v>
      </c>
      <c r="R18" s="38">
        <f t="shared" si="2"/>
        <v>12.034490000000002</v>
      </c>
    </row>
    <row r="19" spans="2:18" x14ac:dyDescent="0.25">
      <c r="B19" s="11" t="s">
        <v>56</v>
      </c>
      <c r="C19" s="36"/>
      <c r="D19" s="36"/>
      <c r="E19" s="36"/>
    </row>
    <row r="20" spans="2:18" x14ac:dyDescent="0.25">
      <c r="B20" s="16" t="s">
        <v>58</v>
      </c>
      <c r="C20" s="36">
        <v>92.316964999999996</v>
      </c>
      <c r="D20" s="36">
        <v>1392.429607</v>
      </c>
      <c r="E20" s="36">
        <v>110.64545000000001</v>
      </c>
      <c r="F20" s="36">
        <v>4.37568</v>
      </c>
      <c r="G20" s="36">
        <v>10.301030000000001</v>
      </c>
      <c r="H20" s="36">
        <v>6.0661500000000004</v>
      </c>
      <c r="I20" s="36">
        <v>7.9412399999999996</v>
      </c>
      <c r="J20" s="36">
        <v>26.109245000000001</v>
      </c>
      <c r="K20" s="36">
        <v>12.512040000000001</v>
      </c>
      <c r="L20" s="36">
        <v>9.0129000000000001</v>
      </c>
      <c r="M20" s="36">
        <v>5.4950999999999999</v>
      </c>
      <c r="N20" s="36">
        <v>2.8076300000000001</v>
      </c>
      <c r="O20" s="36">
        <v>13.294874999999999</v>
      </c>
      <c r="P20" s="36">
        <v>35.647295</v>
      </c>
      <c r="Q20" s="36">
        <v>35.489215000000002</v>
      </c>
      <c r="R20" s="36">
        <v>4.9938900000000004</v>
      </c>
    </row>
    <row r="21" spans="2:18" x14ac:dyDescent="0.25">
      <c r="B21" s="16" t="s">
        <v>57</v>
      </c>
      <c r="C21" s="36">
        <v>67.816500000000005</v>
      </c>
      <c r="D21" s="36">
        <v>120</v>
      </c>
      <c r="E21" s="36">
        <v>630.57446699999991</v>
      </c>
      <c r="F21" s="36">
        <v>0.48899999999999999</v>
      </c>
      <c r="G21" s="36">
        <v>0</v>
      </c>
      <c r="H21" s="36">
        <v>0</v>
      </c>
      <c r="I21" s="36">
        <v>64.953000000000003</v>
      </c>
      <c r="J21" s="36">
        <v>427.32081699999998</v>
      </c>
      <c r="K21" s="36">
        <v>6.9165000000000001</v>
      </c>
      <c r="L21" s="36">
        <v>5.4705000000000004</v>
      </c>
      <c r="M21" s="36">
        <v>0</v>
      </c>
      <c r="N21" s="36">
        <v>3.60825</v>
      </c>
      <c r="O21" s="36">
        <v>118.175</v>
      </c>
      <c r="P21" s="36">
        <v>3097.0724620000001</v>
      </c>
      <c r="Q21" s="36">
        <v>192.00619</v>
      </c>
      <c r="R21" s="36">
        <v>7.0406000000000004</v>
      </c>
    </row>
    <row r="22" spans="2:18" x14ac:dyDescent="0.25">
      <c r="B22" s="20" t="s">
        <v>116</v>
      </c>
      <c r="C22" s="39">
        <v>0.155</v>
      </c>
      <c r="D22" s="39">
        <v>12.33376</v>
      </c>
      <c r="E22" s="39">
        <v>10.4</v>
      </c>
      <c r="F22" s="39">
        <v>0</v>
      </c>
      <c r="G22" s="39">
        <v>0</v>
      </c>
      <c r="H22" s="39">
        <v>10.4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6001.2749999999996</v>
      </c>
      <c r="Q22" s="39">
        <v>0</v>
      </c>
      <c r="R22" s="39">
        <v>0</v>
      </c>
    </row>
    <row r="23" spans="2:18" x14ac:dyDescent="0.25">
      <c r="B23" s="17" t="s">
        <v>111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23"/>
    </row>
    <row r="24" spans="2:18" x14ac:dyDescent="0.25">
      <c r="B24" s="17" t="s">
        <v>66</v>
      </c>
      <c r="C24" s="11"/>
      <c r="D24" s="11"/>
      <c r="E24" s="11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2:18" x14ac:dyDescent="0.25">
      <c r="B25" s="17" t="s">
        <v>102</v>
      </c>
      <c r="D25" s="40"/>
      <c r="E25" s="40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</row>
    <row r="26" spans="2:18" x14ac:dyDescent="0.2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2:18" x14ac:dyDescent="0.2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2:18" x14ac:dyDescent="0.25">
      <c r="C28" s="27"/>
      <c r="D28" s="27"/>
      <c r="E28" s="27"/>
    </row>
  </sheetData>
  <sheetProtection algorithmName="SHA-512" hashValue="IOcO85qNSA+NrlbHu3FkRJjTm5cZu89yv+56Yeys9OU7jjv6vXbQibAfop+Yv+c1YZHDC96QeH9J43rY0f0DUQ==" saltValue="owVWGLJZ+fUdO29WT6nqvw==" spinCount="100000" sheet="1" objects="1" scenarios="1"/>
  <mergeCells count="16">
    <mergeCell ref="O4:O5"/>
    <mergeCell ref="N4:N5"/>
    <mergeCell ref="M4:M5"/>
    <mergeCell ref="Q4:Q5"/>
    <mergeCell ref="R4:R5"/>
    <mergeCell ref="P4:P5"/>
    <mergeCell ref="E4:E5"/>
    <mergeCell ref="C4:C5"/>
    <mergeCell ref="L4:L5"/>
    <mergeCell ref="K4:K5"/>
    <mergeCell ref="J4:J5"/>
    <mergeCell ref="I4:I5"/>
    <mergeCell ref="H4:H5"/>
    <mergeCell ref="G4:G5"/>
    <mergeCell ref="F4:F5"/>
    <mergeCell ref="D4:D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R38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W1" activeCellId="2" sqref="C1:C1048576 G1:I1048576 W1:X1048576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68</v>
      </c>
    </row>
    <row r="4" spans="2:18" ht="15" customHeight="1" x14ac:dyDescent="0.25">
      <c r="B4" s="11"/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</row>
    <row r="5" spans="2:18" ht="15" customHeight="1" x14ac:dyDescent="0.25">
      <c r="B5" s="11"/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ht="15" customHeight="1" x14ac:dyDescent="0.25">
      <c r="B6" s="11"/>
      <c r="C6" s="70"/>
      <c r="D6" s="70"/>
      <c r="E6" s="70"/>
    </row>
    <row r="7" spans="2:18" ht="15" customHeight="1" x14ac:dyDescent="0.25">
      <c r="B7" s="22" t="s">
        <v>117</v>
      </c>
      <c r="C7" s="70">
        <v>0</v>
      </c>
      <c r="D7" s="113">
        <v>1502.94552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</row>
    <row r="8" spans="2:18" ht="15" customHeight="1" x14ac:dyDescent="0.25">
      <c r="B8" s="16" t="s">
        <v>5</v>
      </c>
      <c r="C8" s="72">
        <v>0</v>
      </c>
      <c r="D8" s="114">
        <v>1502.94552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</row>
    <row r="9" spans="2:18" ht="15" customHeight="1" x14ac:dyDescent="0.25">
      <c r="B9" s="16" t="s">
        <v>26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</row>
    <row r="10" spans="2:18" ht="15" customHeight="1" x14ac:dyDescent="0.25">
      <c r="B10" s="16" t="s">
        <v>27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</row>
    <row r="11" spans="2:18" ht="15" customHeight="1" x14ac:dyDescent="0.25">
      <c r="B11" s="16" t="s">
        <v>28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</row>
    <row r="12" spans="2:18" ht="15" customHeight="1" x14ac:dyDescent="0.25">
      <c r="B12" s="16"/>
      <c r="C12" s="73"/>
      <c r="D12" s="73"/>
      <c r="E12" s="73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2:18" ht="15" customHeight="1" x14ac:dyDescent="0.25">
      <c r="B13" s="22" t="s">
        <v>118</v>
      </c>
      <c r="C13" s="38">
        <f t="shared" ref="C13" si="0">C14+C15+C16+C18</f>
        <v>92.316964999999996</v>
      </c>
      <c r="D13" s="38">
        <v>1392.4291070000002</v>
      </c>
      <c r="E13" s="38">
        <v>110.64545000000001</v>
      </c>
      <c r="F13" s="38">
        <f t="shared" ref="F13:H13" si="1">F14+F15+F16+F18</f>
        <v>4.37568</v>
      </c>
      <c r="G13" s="38">
        <f t="shared" si="1"/>
        <v>10.301030000000001</v>
      </c>
      <c r="H13" s="38">
        <f t="shared" si="1"/>
        <v>6.0661500000000004</v>
      </c>
      <c r="I13" s="38">
        <f t="shared" ref="I13:J13" si="2">I14+I15+I16+I18</f>
        <v>7.9412399999999996</v>
      </c>
      <c r="J13" s="38">
        <f t="shared" si="2"/>
        <v>26.109245000000001</v>
      </c>
      <c r="K13" s="38">
        <f t="shared" ref="K13:R13" si="3">K14+K15+K16+K18</f>
        <v>12.512040000000001</v>
      </c>
      <c r="L13" s="38">
        <f t="shared" si="3"/>
        <v>9.0129000000000001</v>
      </c>
      <c r="M13" s="38">
        <f t="shared" si="3"/>
        <v>5.4950999999999999</v>
      </c>
      <c r="N13" s="38">
        <f t="shared" si="3"/>
        <v>2.8076300000000001</v>
      </c>
      <c r="O13" s="38">
        <f t="shared" si="3"/>
        <v>13.294874999999999</v>
      </c>
      <c r="P13" s="38">
        <f t="shared" si="3"/>
        <v>35.647295</v>
      </c>
      <c r="Q13" s="38">
        <f t="shared" si="3"/>
        <v>35.489215000000002</v>
      </c>
      <c r="R13" s="38">
        <f t="shared" si="3"/>
        <v>4.9938900000000004</v>
      </c>
    </row>
    <row r="14" spans="2:18" ht="15" customHeight="1" x14ac:dyDescent="0.25">
      <c r="B14" s="16" t="s">
        <v>5</v>
      </c>
      <c r="C14" s="36">
        <v>72.835674999999995</v>
      </c>
      <c r="D14" s="36">
        <v>146.62500700000004</v>
      </c>
      <c r="E14" s="36">
        <v>101.73775000000001</v>
      </c>
      <c r="F14" s="36">
        <v>3.8706800000000001</v>
      </c>
      <c r="G14" s="36">
        <v>5.3621299999999996</v>
      </c>
      <c r="H14" s="36">
        <v>6.0661500000000004</v>
      </c>
      <c r="I14" s="36">
        <v>6.4412399999999996</v>
      </c>
      <c r="J14" s="36">
        <v>26.109245000000001</v>
      </c>
      <c r="K14" s="36">
        <v>11.053240000000001</v>
      </c>
      <c r="L14" s="36">
        <v>9.0129000000000001</v>
      </c>
      <c r="M14" s="36">
        <v>5.4950999999999999</v>
      </c>
      <c r="N14" s="36">
        <v>2.8076300000000001</v>
      </c>
      <c r="O14" s="36">
        <v>13.294874999999999</v>
      </c>
      <c r="P14" s="36">
        <v>35.647295</v>
      </c>
      <c r="Q14" s="36">
        <v>35.489215000000002</v>
      </c>
      <c r="R14" s="36">
        <v>4.9938900000000004</v>
      </c>
    </row>
    <row r="15" spans="2:18" ht="15" customHeight="1" x14ac:dyDescent="0.25">
      <c r="B15" s="16" t="s">
        <v>26</v>
      </c>
      <c r="C15" s="36">
        <v>0</v>
      </c>
      <c r="D15" s="36">
        <v>1167.2090000000001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16" t="s">
        <v>27</v>
      </c>
      <c r="C16" s="36">
        <v>16.038</v>
      </c>
      <c r="D16" s="36">
        <v>78.595100000000002</v>
      </c>
      <c r="E16" s="36">
        <v>8.9077000000000002</v>
      </c>
      <c r="F16" s="36">
        <v>0.505</v>
      </c>
      <c r="G16" s="36">
        <v>4.9389000000000003</v>
      </c>
      <c r="H16" s="36">
        <v>0</v>
      </c>
      <c r="I16" s="36">
        <v>1.5</v>
      </c>
      <c r="J16" s="36">
        <v>0</v>
      </c>
      <c r="K16" s="36">
        <v>1.4588000000000001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15" t="s">
        <v>32</v>
      </c>
      <c r="C17" s="36">
        <v>9.0399999999999991</v>
      </c>
      <c r="D17" s="36">
        <v>78.595100000000016</v>
      </c>
      <c r="E17" s="36">
        <v>8.9077000000000002</v>
      </c>
      <c r="F17" s="36">
        <v>0.505</v>
      </c>
      <c r="G17" s="36">
        <v>4.9389000000000003</v>
      </c>
      <c r="H17" s="36">
        <v>0</v>
      </c>
      <c r="I17" s="36">
        <v>1.5</v>
      </c>
      <c r="J17" s="36">
        <v>0</v>
      </c>
      <c r="K17" s="36">
        <v>1.4588000000000001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</row>
    <row r="18" spans="2:18" ht="15" customHeight="1" x14ac:dyDescent="0.25">
      <c r="B18" s="16" t="s">
        <v>28</v>
      </c>
      <c r="C18" s="36">
        <v>3.4432900000000002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</row>
    <row r="19" spans="2:18" ht="15" customHeight="1" x14ac:dyDescent="0.25">
      <c r="B19" s="14"/>
      <c r="C19" s="73"/>
      <c r="D19" s="74"/>
      <c r="E19" s="73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2:18" ht="15" customHeight="1" x14ac:dyDescent="0.25">
      <c r="B20" s="22" t="s">
        <v>119</v>
      </c>
      <c r="C20" s="38">
        <v>67.971500000000006</v>
      </c>
      <c r="D20" s="38">
        <v>127.33575999999999</v>
      </c>
      <c r="E20" s="38">
        <v>640.974467</v>
      </c>
      <c r="F20" s="38">
        <v>0.48899999999999999</v>
      </c>
      <c r="G20" s="38">
        <v>0</v>
      </c>
      <c r="H20" s="38">
        <f>+H25+H26</f>
        <v>10.4</v>
      </c>
      <c r="I20" s="38">
        <f>+I21+I22+I25+I26</f>
        <v>64.953000000000003</v>
      </c>
      <c r="J20" s="38">
        <f t="shared" ref="J20:M20" si="4">+J22+J23</f>
        <v>427.32081699999998</v>
      </c>
      <c r="K20" s="38">
        <f t="shared" si="4"/>
        <v>6.9165000000000001</v>
      </c>
      <c r="L20" s="38">
        <f t="shared" si="4"/>
        <v>5.4705000000000004</v>
      </c>
      <c r="M20" s="38">
        <f t="shared" si="4"/>
        <v>0</v>
      </c>
      <c r="N20" s="38">
        <f>+N22+N23+N25+N26</f>
        <v>3.60825</v>
      </c>
      <c r="O20" s="38">
        <f t="shared" ref="O20:R20" si="5">+O22+O23+O25+O26</f>
        <v>118.175</v>
      </c>
      <c r="P20" s="38">
        <f t="shared" si="5"/>
        <v>9098.3474619999997</v>
      </c>
      <c r="Q20" s="38">
        <f t="shared" si="5"/>
        <v>192.00619</v>
      </c>
      <c r="R20" s="38">
        <f t="shared" si="5"/>
        <v>7.0406000000000004</v>
      </c>
    </row>
    <row r="21" spans="2:18" ht="15" customHeight="1" x14ac:dyDescent="0.25">
      <c r="B21" s="26" t="s">
        <v>13</v>
      </c>
      <c r="C21" s="36"/>
      <c r="D21" s="36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2:18" ht="15" customHeight="1" x14ac:dyDescent="0.25">
      <c r="B22" s="15" t="s">
        <v>29</v>
      </c>
      <c r="C22" s="36">
        <v>1.7251000000000001</v>
      </c>
      <c r="D22" s="36">
        <v>12.33376</v>
      </c>
      <c r="E22" s="36">
        <v>207.1318</v>
      </c>
      <c r="F22" s="36">
        <v>0.48899999999999999</v>
      </c>
      <c r="G22" s="36">
        <v>0</v>
      </c>
      <c r="H22" s="36">
        <v>0</v>
      </c>
      <c r="I22" s="36">
        <v>64.953000000000003</v>
      </c>
      <c r="J22" s="36">
        <v>3.8781500000000002</v>
      </c>
      <c r="K22" s="36">
        <v>6.9165000000000001</v>
      </c>
      <c r="L22" s="36">
        <v>5.4705000000000004</v>
      </c>
      <c r="M22" s="36">
        <v>0</v>
      </c>
      <c r="N22" s="36">
        <v>3.60825</v>
      </c>
      <c r="O22" s="36">
        <v>118.175</v>
      </c>
      <c r="P22" s="36">
        <v>3097.0724620000001</v>
      </c>
      <c r="Q22" s="36">
        <v>192.00619</v>
      </c>
      <c r="R22" s="36">
        <v>7.0406000000000004</v>
      </c>
    </row>
    <row r="23" spans="2:18" ht="15" customHeight="1" x14ac:dyDescent="0.25">
      <c r="B23" s="15" t="s">
        <v>61</v>
      </c>
      <c r="C23" s="36">
        <v>0</v>
      </c>
      <c r="D23" s="36">
        <v>0</v>
      </c>
      <c r="E23" s="36">
        <v>423.44266699999997</v>
      </c>
      <c r="F23" s="36">
        <v>0</v>
      </c>
      <c r="G23" s="36">
        <v>0</v>
      </c>
      <c r="H23" s="36">
        <v>0</v>
      </c>
      <c r="I23" s="36">
        <v>0</v>
      </c>
      <c r="J23" s="36">
        <v>423.44266699999997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</row>
    <row r="24" spans="2:18" s="35" customFormat="1" ht="15.75" customHeight="1" x14ac:dyDescent="0.25">
      <c r="B24" s="15" t="s">
        <v>60</v>
      </c>
      <c r="C24" s="36">
        <v>1.7251000000000001</v>
      </c>
      <c r="D24" s="36">
        <v>12.33376</v>
      </c>
      <c r="E24" s="36">
        <v>3.6414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</row>
    <row r="25" spans="2:18" s="35" customFormat="1" ht="15.75" customHeight="1" x14ac:dyDescent="0.25">
      <c r="B25" s="15" t="s">
        <v>114</v>
      </c>
      <c r="C25" s="36">
        <v>0</v>
      </c>
      <c r="D25" s="36">
        <v>0</v>
      </c>
      <c r="E25" s="36">
        <v>0.4</v>
      </c>
      <c r="F25" s="36">
        <v>0</v>
      </c>
      <c r="G25" s="36">
        <v>0</v>
      </c>
      <c r="H25" s="36">
        <v>0.4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6001.2749999999996</v>
      </c>
      <c r="Q25" s="36">
        <v>0</v>
      </c>
      <c r="R25" s="36">
        <v>0</v>
      </c>
    </row>
    <row r="26" spans="2:18" s="35" customFormat="1" ht="15.75" customHeight="1" x14ac:dyDescent="0.25">
      <c r="B26" s="15" t="s">
        <v>115</v>
      </c>
      <c r="C26" s="36">
        <v>0</v>
      </c>
      <c r="D26" s="36">
        <v>0</v>
      </c>
      <c r="E26" s="36">
        <v>10</v>
      </c>
      <c r="F26" s="36">
        <v>0</v>
      </c>
      <c r="G26" s="36">
        <v>0</v>
      </c>
      <c r="H26" s="36">
        <v>10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23"/>
      <c r="C27" s="36"/>
      <c r="D27" s="36"/>
      <c r="E27" s="36"/>
    </row>
    <row r="28" spans="2:18" ht="15" customHeight="1" x14ac:dyDescent="0.25">
      <c r="B28" s="22" t="s">
        <v>80</v>
      </c>
      <c r="C28" s="36"/>
      <c r="D28" s="36"/>
      <c r="E28" s="36"/>
    </row>
    <row r="29" spans="2:18" ht="15" customHeight="1" x14ac:dyDescent="0.25">
      <c r="B29" s="14" t="s">
        <v>5</v>
      </c>
      <c r="C29" s="36"/>
      <c r="D29" s="36"/>
      <c r="E29" s="36"/>
    </row>
    <row r="30" spans="2:18" ht="15" customHeight="1" x14ac:dyDescent="0.25">
      <c r="B30" s="15" t="s">
        <v>30</v>
      </c>
      <c r="C30" s="68">
        <v>9350</v>
      </c>
      <c r="D30" s="68">
        <v>9395</v>
      </c>
      <c r="E30" s="68">
        <v>13212.5</v>
      </c>
      <c r="F30" s="68">
        <v>10395</v>
      </c>
      <c r="G30" s="68">
        <v>11950</v>
      </c>
      <c r="H30" s="68">
        <v>11500</v>
      </c>
      <c r="I30" s="68">
        <v>10910</v>
      </c>
      <c r="J30" s="68">
        <v>12150</v>
      </c>
      <c r="K30" s="68">
        <v>13580</v>
      </c>
      <c r="L30" s="68">
        <v>12875</v>
      </c>
      <c r="M30" s="68">
        <v>13850</v>
      </c>
      <c r="N30" s="68">
        <v>13850</v>
      </c>
      <c r="O30" s="68">
        <v>13212.5</v>
      </c>
      <c r="P30" s="68">
        <v>13357.5</v>
      </c>
      <c r="Q30" s="68">
        <v>13357.5</v>
      </c>
      <c r="R30" s="68">
        <v>14375</v>
      </c>
    </row>
    <row r="31" spans="2:18" ht="15" customHeight="1" x14ac:dyDescent="0.25">
      <c r="B31" s="21" t="s">
        <v>31</v>
      </c>
      <c r="C31" s="69">
        <v>3950</v>
      </c>
      <c r="D31" s="69">
        <v>7900</v>
      </c>
      <c r="E31" s="69">
        <v>11250</v>
      </c>
      <c r="F31" s="69">
        <v>9700</v>
      </c>
      <c r="G31" s="69">
        <v>9750</v>
      </c>
      <c r="H31" s="69">
        <v>12000</v>
      </c>
      <c r="I31" s="69">
        <v>11000</v>
      </c>
      <c r="J31" s="69">
        <v>12600</v>
      </c>
      <c r="K31" s="69">
        <v>12550</v>
      </c>
      <c r="L31" s="69">
        <v>12250</v>
      </c>
      <c r="M31" s="69">
        <v>13100</v>
      </c>
      <c r="N31" s="69">
        <v>12650</v>
      </c>
      <c r="O31" s="69">
        <v>11250</v>
      </c>
      <c r="P31" s="69">
        <v>12800</v>
      </c>
      <c r="Q31" s="69">
        <v>12750</v>
      </c>
      <c r="R31" s="69">
        <v>12700</v>
      </c>
    </row>
    <row r="32" spans="2:18" ht="15" customHeight="1" x14ac:dyDescent="0.25">
      <c r="B32" s="17" t="s">
        <v>111</v>
      </c>
      <c r="C32" s="11"/>
      <c r="D32" s="11"/>
      <c r="E32" s="11"/>
    </row>
    <row r="33" spans="2:18" ht="15" customHeight="1" x14ac:dyDescent="0.25">
      <c r="B33" s="17" t="s">
        <v>66</v>
      </c>
      <c r="C33" s="11"/>
      <c r="D33" s="11"/>
      <c r="E33" s="11"/>
    </row>
    <row r="34" spans="2:18" ht="15" customHeight="1" x14ac:dyDescent="0.25">
      <c r="B34" s="17" t="s">
        <v>132</v>
      </c>
      <c r="C34" s="11"/>
      <c r="D34" s="11"/>
      <c r="E34" s="11"/>
      <c r="O34" s="36"/>
      <c r="P34" s="68"/>
      <c r="Q34" s="68"/>
      <c r="R34" s="68"/>
    </row>
    <row r="35" spans="2:18" ht="15" customHeight="1" x14ac:dyDescent="0.25">
      <c r="B35" s="10"/>
      <c r="O35" s="36"/>
      <c r="P35" s="68"/>
      <c r="Q35" s="68"/>
      <c r="R35" s="68"/>
    </row>
    <row r="36" spans="2:18" ht="15" customHeight="1" x14ac:dyDescent="0.25">
      <c r="B36" s="10"/>
      <c r="O36" s="36"/>
      <c r="P36" s="68"/>
      <c r="Q36" s="68"/>
      <c r="R36" s="68"/>
    </row>
    <row r="37" spans="2:18" ht="15" customHeight="1" x14ac:dyDescent="0.25">
      <c r="O37" s="36"/>
      <c r="P37" s="68"/>
      <c r="Q37" s="68"/>
      <c r="R37" s="68"/>
    </row>
    <row r="38" spans="2:18" ht="15" customHeight="1" x14ac:dyDescent="0.25"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117"/>
    </row>
  </sheetData>
  <sheetProtection algorithmName="SHA-512" hashValue="cApnu3Ott8L6it/0cqLetKS9eYALEnCkN8yui8dJFB07YlC0veGSr88+UKhc/7uk97IdxICulPs8gszZ0MAkLg==" saltValue="pj2V4gARLPjJ40F6iCNJ9A==" spinCount="100000" sheet="1" objects="1" scenarios="1"/>
  <mergeCells count="16">
    <mergeCell ref="E4:E5"/>
    <mergeCell ref="C4:C5"/>
    <mergeCell ref="F4:F5"/>
    <mergeCell ref="D4:D5"/>
    <mergeCell ref="Q4:Q5"/>
    <mergeCell ref="R4:R5"/>
    <mergeCell ref="I4:I5"/>
    <mergeCell ref="H4:H5"/>
    <mergeCell ref="G4:G5"/>
    <mergeCell ref="L4:L5"/>
    <mergeCell ref="P4:P5"/>
    <mergeCell ref="K4:K5"/>
    <mergeCell ref="J4:J5"/>
    <mergeCell ref="O4:O5"/>
    <mergeCell ref="N4:N5"/>
    <mergeCell ref="M4:M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S40"/>
  <sheetViews>
    <sheetView workbookViewId="0">
      <pane xSplit="5" ySplit="5" topLeftCell="F6" activePane="bottomRight" state="frozen"/>
      <selection activeCell="B26" sqref="B26"/>
      <selection pane="topRight" activeCell="B26" sqref="B26"/>
      <selection pane="bottomLeft" activeCell="B26" sqref="B26"/>
      <selection pane="bottomRight" activeCell="T7" sqref="T7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18" width="10.7109375" style="1" customWidth="1"/>
    <col min="19" max="16384" width="9.140625" style="1"/>
  </cols>
  <sheetData>
    <row r="3" spans="2:19" ht="15" customHeight="1" x14ac:dyDescent="0.25">
      <c r="B3" s="19" t="s">
        <v>112</v>
      </c>
    </row>
    <row r="4" spans="2:19" ht="15" customHeight="1" x14ac:dyDescent="0.25">
      <c r="B4" s="11"/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</row>
    <row r="5" spans="2:19" ht="15" customHeight="1" x14ac:dyDescent="0.25">
      <c r="B5" s="11"/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9" ht="15" customHeight="1" x14ac:dyDescent="0.25">
      <c r="B6" s="11"/>
      <c r="C6" s="47"/>
      <c r="D6" s="47"/>
      <c r="E6" s="47"/>
      <c r="S6" s="54"/>
    </row>
    <row r="7" spans="2:19" s="78" customFormat="1" ht="15" customHeight="1" x14ac:dyDescent="0.25">
      <c r="B7" s="13" t="s">
        <v>110</v>
      </c>
      <c r="C7" s="38">
        <f>C8+C25</f>
        <v>16000</v>
      </c>
      <c r="D7" s="38">
        <f t="shared" ref="D7:E7" si="0">D8+D25</f>
        <v>19967.688000000006</v>
      </c>
      <c r="E7" s="38">
        <f t="shared" si="0"/>
        <v>24557.7</v>
      </c>
      <c r="F7" s="38">
        <f t="shared" ref="F7:P7" si="1">F8+F25</f>
        <v>1600</v>
      </c>
      <c r="G7" s="38">
        <f t="shared" si="1"/>
        <v>3101.7000000000003</v>
      </c>
      <c r="H7" s="38">
        <f t="shared" si="1"/>
        <v>3816.002</v>
      </c>
      <c r="I7" s="38">
        <f t="shared" si="1"/>
        <v>0</v>
      </c>
      <c r="J7" s="38">
        <f t="shared" si="1"/>
        <v>4483.9979999999996</v>
      </c>
      <c r="K7" s="38">
        <f t="shared" si="1"/>
        <v>2400</v>
      </c>
      <c r="L7" s="38">
        <f t="shared" si="1"/>
        <v>1300</v>
      </c>
      <c r="M7" s="38">
        <f t="shared" si="1"/>
        <v>3998</v>
      </c>
      <c r="N7" s="38">
        <f t="shared" si="1"/>
        <v>2258</v>
      </c>
      <c r="O7" s="38">
        <f t="shared" si="1"/>
        <v>800</v>
      </c>
      <c r="P7" s="38">
        <f t="shared" si="1"/>
        <v>0</v>
      </c>
      <c r="Q7" s="38">
        <f t="shared" ref="Q7:R7" si="2">Q8+Q25</f>
        <v>3202</v>
      </c>
      <c r="R7" s="38">
        <f t="shared" si="2"/>
        <v>2417.5209999999997</v>
      </c>
    </row>
    <row r="8" spans="2:19" s="79" customFormat="1" ht="15" customHeight="1" x14ac:dyDescent="0.25">
      <c r="B8" s="46" t="s">
        <v>95</v>
      </c>
      <c r="C8" s="37">
        <f t="shared" ref="C8:H8" si="3">C9+C13</f>
        <v>15900</v>
      </c>
      <c r="D8" s="37">
        <f t="shared" si="3"/>
        <v>19967.688000000006</v>
      </c>
      <c r="E8" s="37">
        <f t="shared" si="3"/>
        <v>24557.7</v>
      </c>
      <c r="F8" s="37">
        <f t="shared" si="3"/>
        <v>1600</v>
      </c>
      <c r="G8" s="37">
        <f t="shared" si="3"/>
        <v>3101.7000000000003</v>
      </c>
      <c r="H8" s="37">
        <f t="shared" si="3"/>
        <v>3816.002</v>
      </c>
      <c r="I8" s="37">
        <f t="shared" ref="I8:J8" si="4">I9+I13</f>
        <v>0</v>
      </c>
      <c r="J8" s="37">
        <f t="shared" si="4"/>
        <v>4483.9979999999996</v>
      </c>
      <c r="K8" s="37">
        <f t="shared" ref="K8:P8" si="5">K9+K13</f>
        <v>2400</v>
      </c>
      <c r="L8" s="37">
        <f t="shared" si="5"/>
        <v>1300</v>
      </c>
      <c r="M8" s="37">
        <f t="shared" si="5"/>
        <v>3998</v>
      </c>
      <c r="N8" s="37">
        <f t="shared" si="5"/>
        <v>2258</v>
      </c>
      <c r="O8" s="37">
        <f t="shared" si="5"/>
        <v>800</v>
      </c>
      <c r="P8" s="37">
        <f t="shared" si="5"/>
        <v>0</v>
      </c>
      <c r="Q8" s="37">
        <f t="shared" ref="Q8:R8" si="6">Q9+Q13</f>
        <v>3202</v>
      </c>
      <c r="R8" s="37">
        <f t="shared" si="6"/>
        <v>2417.5209999999997</v>
      </c>
    </row>
    <row r="9" spans="2:19" s="79" customFormat="1" ht="15" customHeight="1" x14ac:dyDescent="0.25">
      <c r="B9" s="75" t="s">
        <v>6</v>
      </c>
      <c r="C9" s="76">
        <f t="shared" ref="C9:E9" si="7">C10+C11+C12</f>
        <v>15460.468000000001</v>
      </c>
      <c r="D9" s="76">
        <f t="shared" si="7"/>
        <v>19655.200000000004</v>
      </c>
      <c r="E9" s="76">
        <f t="shared" si="7"/>
        <v>24190.985000000001</v>
      </c>
      <c r="F9" s="76">
        <f t="shared" ref="F9:H9" si="8">F10+F11+F12</f>
        <v>1600</v>
      </c>
      <c r="G9" s="76">
        <f t="shared" si="8"/>
        <v>3098.3</v>
      </c>
      <c r="H9" s="76">
        <f t="shared" si="8"/>
        <v>3672</v>
      </c>
      <c r="I9" s="76">
        <f t="shared" ref="I9:P9" si="9">I10+I11+I12</f>
        <v>0</v>
      </c>
      <c r="J9" s="76">
        <f t="shared" si="9"/>
        <v>4402.9849999999997</v>
      </c>
      <c r="K9" s="76">
        <f t="shared" si="9"/>
        <v>2395.7399999999998</v>
      </c>
      <c r="L9" s="76">
        <f t="shared" si="9"/>
        <v>1297.96</v>
      </c>
      <c r="M9" s="76">
        <f t="shared" si="9"/>
        <v>3990</v>
      </c>
      <c r="N9" s="76">
        <f t="shared" si="9"/>
        <v>2134</v>
      </c>
      <c r="O9" s="76">
        <f t="shared" si="9"/>
        <v>800</v>
      </c>
      <c r="P9" s="76">
        <f t="shared" si="9"/>
        <v>0</v>
      </c>
      <c r="Q9" s="76">
        <f t="shared" ref="Q9:R9" si="10">Q10+Q11+Q12</f>
        <v>3197.78</v>
      </c>
      <c r="R9" s="76">
        <f t="shared" si="10"/>
        <v>2131.3609999999999</v>
      </c>
    </row>
    <row r="10" spans="2:19" ht="15" customHeight="1" x14ac:dyDescent="0.25">
      <c r="B10" s="23" t="s">
        <v>9</v>
      </c>
      <c r="C10" s="36">
        <v>10766.611000000001</v>
      </c>
      <c r="D10" s="36">
        <v>10628.171000000002</v>
      </c>
      <c r="E10" s="36">
        <v>10525.998</v>
      </c>
      <c r="F10" s="36">
        <v>736.84199999999998</v>
      </c>
      <c r="G10" s="36">
        <v>2002.952</v>
      </c>
      <c r="H10" s="36">
        <v>1269.3130000000001</v>
      </c>
      <c r="I10" s="36">
        <v>0</v>
      </c>
      <c r="J10" s="36">
        <v>1829.961</v>
      </c>
      <c r="K10" s="36">
        <v>805.27</v>
      </c>
      <c r="L10" s="36">
        <v>761.25900000000001</v>
      </c>
      <c r="M10" s="36">
        <v>1637.22</v>
      </c>
      <c r="N10" s="36">
        <f>165+100+200</f>
        <v>465</v>
      </c>
      <c r="O10" s="36">
        <v>800</v>
      </c>
      <c r="P10" s="36">
        <v>0</v>
      </c>
      <c r="Q10" s="36">
        <v>599.02300000000002</v>
      </c>
      <c r="R10" s="36">
        <v>331.84</v>
      </c>
    </row>
    <row r="11" spans="2:19" ht="15" customHeight="1" x14ac:dyDescent="0.25">
      <c r="B11" s="23" t="s">
        <v>35</v>
      </c>
      <c r="C11" s="36">
        <v>4693.857</v>
      </c>
      <c r="D11" s="36">
        <v>9027.0290000000005</v>
      </c>
      <c r="E11" s="36">
        <v>13664.986999999999</v>
      </c>
      <c r="F11" s="36">
        <v>863.15800000000002</v>
      </c>
      <c r="G11" s="36">
        <v>1095.348</v>
      </c>
      <c r="H11" s="36">
        <v>2402.6869999999999</v>
      </c>
      <c r="I11" s="36">
        <v>0</v>
      </c>
      <c r="J11" s="36">
        <v>2573.0239999999999</v>
      </c>
      <c r="K11" s="36">
        <v>1590.47</v>
      </c>
      <c r="L11" s="36">
        <v>536.70100000000002</v>
      </c>
      <c r="M11" s="36">
        <v>2352.7800000000002</v>
      </c>
      <c r="N11" s="36">
        <f>398+398+239.4+293.6+340</f>
        <v>1669</v>
      </c>
      <c r="O11" s="36">
        <v>0</v>
      </c>
      <c r="P11" s="36">
        <v>0</v>
      </c>
      <c r="Q11" s="36">
        <v>2598.7570000000001</v>
      </c>
      <c r="R11" s="36">
        <v>1799.521</v>
      </c>
    </row>
    <row r="12" spans="2:19" ht="15" customHeight="1" x14ac:dyDescent="0.25">
      <c r="B12" s="23" t="s">
        <v>8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/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9" s="79" customFormat="1" ht="15" customHeight="1" x14ac:dyDescent="0.25">
      <c r="B13" s="75" t="s">
        <v>7</v>
      </c>
      <c r="C13" s="76">
        <f t="shared" ref="C13:D13" si="11">C15+C19+C23+C14</f>
        <v>439.53200000000004</v>
      </c>
      <c r="D13" s="76">
        <f t="shared" si="11"/>
        <v>312.488</v>
      </c>
      <c r="E13" s="76">
        <f>E15+E19+E23+E14</f>
        <v>366.71500000000003</v>
      </c>
      <c r="F13" s="76">
        <f t="shared" ref="F13:H13" si="12">F15+F19+F23</f>
        <v>0</v>
      </c>
      <c r="G13" s="76">
        <f t="shared" si="12"/>
        <v>3.4</v>
      </c>
      <c r="H13" s="76">
        <f t="shared" si="12"/>
        <v>144.00200000000001</v>
      </c>
      <c r="I13" s="76">
        <f t="shared" ref="I13:J13" si="13">I15+I19+I23</f>
        <v>0</v>
      </c>
      <c r="J13" s="76">
        <f t="shared" si="13"/>
        <v>81.013000000000005</v>
      </c>
      <c r="K13" s="76">
        <f t="shared" ref="K13:R13" si="14">+K14+K15+K19+K23</f>
        <v>4.26</v>
      </c>
      <c r="L13" s="76">
        <f t="shared" si="14"/>
        <v>2.04</v>
      </c>
      <c r="M13" s="76">
        <f t="shared" si="14"/>
        <v>8</v>
      </c>
      <c r="N13" s="76">
        <f t="shared" si="14"/>
        <v>124</v>
      </c>
      <c r="O13" s="76">
        <f t="shared" si="14"/>
        <v>0</v>
      </c>
      <c r="P13" s="76">
        <f t="shared" si="14"/>
        <v>0</v>
      </c>
      <c r="Q13" s="76">
        <f t="shared" si="14"/>
        <v>4.2200000000000006</v>
      </c>
      <c r="R13" s="76">
        <f t="shared" si="14"/>
        <v>286.16000000000003</v>
      </c>
    </row>
    <row r="14" spans="2:19" s="79" customFormat="1" ht="15" customHeight="1" x14ac:dyDescent="0.25">
      <c r="B14" s="23" t="s">
        <v>35</v>
      </c>
      <c r="C14" s="36">
        <v>0</v>
      </c>
      <c r="D14" s="36">
        <v>0</v>
      </c>
      <c r="E14" s="36">
        <v>136</v>
      </c>
      <c r="F14" s="36"/>
      <c r="G14" s="36"/>
      <c r="H14" s="36"/>
      <c r="I14" s="36"/>
      <c r="J14" s="36"/>
      <c r="K14" s="36">
        <v>4</v>
      </c>
      <c r="L14" s="36">
        <v>2</v>
      </c>
      <c r="M14" s="36">
        <v>8</v>
      </c>
      <c r="N14" s="36">
        <f>2+120</f>
        <v>122</v>
      </c>
      <c r="O14" s="36">
        <v>0</v>
      </c>
      <c r="P14" s="36">
        <v>0</v>
      </c>
      <c r="Q14" s="36">
        <v>2</v>
      </c>
      <c r="R14" s="36">
        <v>234</v>
      </c>
    </row>
    <row r="15" spans="2:19" ht="15" customHeight="1" x14ac:dyDescent="0.25">
      <c r="B15" s="23" t="s">
        <v>30</v>
      </c>
      <c r="C15" s="36">
        <v>87.844999999999999</v>
      </c>
      <c r="D15" s="36">
        <v>65</v>
      </c>
      <c r="E15" s="36">
        <v>112.86000000000001</v>
      </c>
      <c r="F15" s="36">
        <v>0</v>
      </c>
      <c r="G15" s="36">
        <v>1.7</v>
      </c>
      <c r="H15" s="36">
        <v>100.25</v>
      </c>
      <c r="I15" s="36">
        <v>0</v>
      </c>
      <c r="J15" s="36">
        <v>10.65</v>
      </c>
      <c r="K15" s="36">
        <v>0.26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9" s="50" customFormat="1" ht="15" customHeight="1" x14ac:dyDescent="0.25">
      <c r="B16" s="23" t="s">
        <v>13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</row>
    <row r="17" spans="2:18" s="50" customFormat="1" ht="15" customHeight="1" x14ac:dyDescent="0.25">
      <c r="B17" s="24" t="s">
        <v>36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</row>
    <row r="18" spans="2:18" s="50" customFormat="1" ht="15" customHeight="1" x14ac:dyDescent="0.25">
      <c r="B18" s="24" t="s">
        <v>37</v>
      </c>
      <c r="C18" s="49">
        <v>87.844999999999999</v>
      </c>
      <c r="D18" s="49">
        <v>65</v>
      </c>
      <c r="E18" s="49">
        <v>45</v>
      </c>
      <c r="F18" s="49">
        <v>0</v>
      </c>
      <c r="G18" s="49">
        <v>0</v>
      </c>
      <c r="H18" s="49">
        <v>45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</row>
    <row r="19" spans="2:18" ht="15" customHeight="1" x14ac:dyDescent="0.25">
      <c r="B19" s="23" t="s">
        <v>31</v>
      </c>
      <c r="C19" s="36">
        <v>328.827</v>
      </c>
      <c r="D19" s="36">
        <v>180.25799999999998</v>
      </c>
      <c r="E19" s="36">
        <v>83</v>
      </c>
      <c r="F19" s="36">
        <v>0</v>
      </c>
      <c r="G19" s="36">
        <v>0</v>
      </c>
      <c r="H19" s="36">
        <v>33</v>
      </c>
      <c r="I19" s="36">
        <v>0</v>
      </c>
      <c r="J19" s="36">
        <v>50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45</v>
      </c>
    </row>
    <row r="20" spans="2:18" ht="15" customHeight="1" x14ac:dyDescent="0.25">
      <c r="B20" s="23" t="s">
        <v>13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2:18" ht="15" customHeight="1" x14ac:dyDescent="0.25">
      <c r="B21" s="24" t="s">
        <v>36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18" ht="15" customHeight="1" x14ac:dyDescent="0.25">
      <c r="B22" s="24" t="s">
        <v>37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12</v>
      </c>
      <c r="C23" s="36">
        <v>22.86</v>
      </c>
      <c r="D23" s="36">
        <v>67.23</v>
      </c>
      <c r="E23" s="36">
        <v>34.854999999999997</v>
      </c>
      <c r="F23" s="36">
        <v>0</v>
      </c>
      <c r="G23" s="36">
        <v>1.7</v>
      </c>
      <c r="H23" s="36">
        <v>10.752000000000001</v>
      </c>
      <c r="I23" s="36">
        <v>0</v>
      </c>
      <c r="J23" s="36">
        <v>20.363</v>
      </c>
      <c r="K23" s="36">
        <v>0</v>
      </c>
      <c r="L23" s="36">
        <v>0.04</v>
      </c>
      <c r="M23" s="36">
        <v>0</v>
      </c>
      <c r="N23" s="36">
        <f>2</f>
        <v>2</v>
      </c>
      <c r="O23" s="36">
        <v>0</v>
      </c>
      <c r="P23" s="36">
        <v>0</v>
      </c>
      <c r="Q23" s="36">
        <v>2.2200000000000002</v>
      </c>
      <c r="R23" s="36">
        <v>7.16</v>
      </c>
    </row>
    <row r="24" spans="2:18" ht="15" customHeight="1" x14ac:dyDescent="0.25">
      <c r="B24" s="23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2:18" s="98" customFormat="1" ht="15" customHeight="1" x14ac:dyDescent="0.25">
      <c r="B25" s="46" t="s">
        <v>96</v>
      </c>
      <c r="C25" s="37">
        <v>100</v>
      </c>
      <c r="D25" s="37">
        <v>0</v>
      </c>
      <c r="E25" s="37">
        <v>0</v>
      </c>
      <c r="F25" s="37">
        <f t="shared" ref="F25:G25" si="15">F26+F30+F34</f>
        <v>0</v>
      </c>
      <c r="G25" s="37">
        <f t="shared" si="15"/>
        <v>0</v>
      </c>
      <c r="H25" s="37">
        <f t="shared" ref="H25:I25" si="16">H26+H30+H34</f>
        <v>0</v>
      </c>
      <c r="I25" s="37">
        <f t="shared" si="16"/>
        <v>0</v>
      </c>
      <c r="J25" s="37">
        <f t="shared" ref="J25:K25" si="17">J26+J30+J34</f>
        <v>0</v>
      </c>
      <c r="K25" s="37">
        <f t="shared" si="17"/>
        <v>0</v>
      </c>
      <c r="L25" s="37">
        <f t="shared" ref="L25:M25" si="18">L26+L30+L34</f>
        <v>0</v>
      </c>
      <c r="M25" s="37">
        <f t="shared" si="18"/>
        <v>0</v>
      </c>
      <c r="N25" s="37">
        <f t="shared" ref="N25" si="19">N26+N30+N34</f>
        <v>0</v>
      </c>
      <c r="O25" s="37">
        <f t="shared" ref="O25:P25" si="20">O26+O30+O34</f>
        <v>0</v>
      </c>
      <c r="P25" s="37">
        <f t="shared" si="20"/>
        <v>0</v>
      </c>
      <c r="Q25" s="37">
        <f t="shared" ref="Q25:R25" si="21">Q26+Q30+Q34</f>
        <v>0</v>
      </c>
      <c r="R25" s="37">
        <f t="shared" si="21"/>
        <v>0</v>
      </c>
    </row>
    <row r="26" spans="2:18" ht="15" customHeight="1" x14ac:dyDescent="0.25">
      <c r="B26" s="15" t="s">
        <v>30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15" t="s">
        <v>13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2:18" ht="15" customHeight="1" x14ac:dyDescent="0.25">
      <c r="B28" s="23" t="s">
        <v>36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</row>
    <row r="29" spans="2:18" ht="15" customHeight="1" x14ac:dyDescent="0.25">
      <c r="B29" s="23" t="s">
        <v>37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2:18" ht="15" customHeight="1" x14ac:dyDescent="0.25">
      <c r="B30" s="15" t="s">
        <v>31</v>
      </c>
      <c r="C30" s="36">
        <v>100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</row>
    <row r="31" spans="2:18" ht="15" customHeight="1" x14ac:dyDescent="0.25">
      <c r="B31" s="15" t="s">
        <v>13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2:18" ht="15" customHeight="1" x14ac:dyDescent="0.25">
      <c r="B32" s="23" t="s">
        <v>36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23" t="s">
        <v>37</v>
      </c>
      <c r="C33" s="36">
        <v>100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21" t="s">
        <v>12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</row>
    <row r="35" spans="2:18" ht="15" customHeight="1" x14ac:dyDescent="0.25">
      <c r="B35" s="17" t="s">
        <v>111</v>
      </c>
      <c r="C35" s="11"/>
      <c r="D35" s="11"/>
      <c r="E35" s="11"/>
    </row>
    <row r="36" spans="2:18" ht="15" customHeight="1" x14ac:dyDescent="0.25">
      <c r="B36" s="17" t="s">
        <v>66</v>
      </c>
      <c r="C36" s="11"/>
      <c r="D36" s="11"/>
      <c r="E36" s="11"/>
    </row>
    <row r="37" spans="2:18" ht="15" customHeight="1" x14ac:dyDescent="0.25">
      <c r="B37" s="17" t="s">
        <v>65</v>
      </c>
      <c r="C37" s="11"/>
      <c r="D37" s="11"/>
      <c r="E37" s="11"/>
    </row>
    <row r="38" spans="2:18" ht="15" customHeight="1" x14ac:dyDescent="0.25">
      <c r="B38" s="17" t="s">
        <v>107</v>
      </c>
      <c r="C38" s="11"/>
      <c r="D38" s="11"/>
      <c r="E38" s="11"/>
    </row>
    <row r="39" spans="2:18" ht="15" customHeight="1" x14ac:dyDescent="0.25">
      <c r="B39" s="17" t="s">
        <v>108</v>
      </c>
      <c r="C39" s="11"/>
      <c r="D39" s="11"/>
      <c r="E39" s="11"/>
    </row>
    <row r="40" spans="2:18" ht="15" customHeight="1" x14ac:dyDescent="0.25">
      <c r="B40" s="10"/>
    </row>
  </sheetData>
  <sheetProtection algorithmName="SHA-512" hashValue="cfnj59pnqGcHedA+Cw8XxL8wGfjGAXFv465xviN6kvYVO9AIKjJFGIQygL7KBMtYiye7KiAshsgTMyxZqaidyg==" saltValue="0NID86CdOd4ju0fLM8r4ew==" spinCount="100000" sheet="1" objects="1" scenarios="1"/>
  <mergeCells count="16">
    <mergeCell ref="E4:E5"/>
    <mergeCell ref="C4:C5"/>
    <mergeCell ref="N4:N5"/>
    <mergeCell ref="M4:M5"/>
    <mergeCell ref="G4:G5"/>
    <mergeCell ref="L4:L5"/>
    <mergeCell ref="K4:K5"/>
    <mergeCell ref="J4:J5"/>
    <mergeCell ref="I4:I5"/>
    <mergeCell ref="H4:H5"/>
    <mergeCell ref="Q4:Q5"/>
    <mergeCell ref="R4:R5"/>
    <mergeCell ref="D4:D5"/>
    <mergeCell ref="F4:F5"/>
    <mergeCell ref="P4:P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R33"/>
  <sheetViews>
    <sheetView workbookViewId="0">
      <pane xSplit="5" ySplit="5" topLeftCell="F6" activePane="bottomRight" state="frozen"/>
      <selection activeCell="A25" sqref="A25:XFD25"/>
      <selection pane="topRight" activeCell="A25" sqref="A25:XFD25"/>
      <selection pane="bottomLeft" activeCell="A25" sqref="A25:XFD25"/>
      <selection pane="bottomRight" activeCell="W1" activeCellId="2" sqref="C1:C1048576 G1:I1048576 W1:X1048576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71</v>
      </c>
    </row>
    <row r="4" spans="2:18" ht="15" customHeight="1" x14ac:dyDescent="0.25">
      <c r="B4" s="11"/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</row>
    <row r="5" spans="2:18" ht="15" customHeight="1" x14ac:dyDescent="0.25">
      <c r="B5" s="11"/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ht="15" customHeight="1" x14ac:dyDescent="0.25">
      <c r="B6" s="11"/>
      <c r="C6" s="77"/>
      <c r="D6" s="77"/>
      <c r="E6" s="77"/>
    </row>
    <row r="7" spans="2:18" ht="15" customHeight="1" x14ac:dyDescent="0.25">
      <c r="B7" s="13" t="s">
        <v>94</v>
      </c>
      <c r="C7" s="67"/>
      <c r="D7" s="67"/>
      <c r="E7" s="67"/>
    </row>
    <row r="8" spans="2:18" ht="15" customHeight="1" x14ac:dyDescent="0.25">
      <c r="B8" s="14" t="s">
        <v>4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</row>
    <row r="9" spans="2:18" ht="15" customHeight="1" x14ac:dyDescent="0.25">
      <c r="B9" s="23" t="s">
        <v>9</v>
      </c>
      <c r="C9" s="68">
        <v>0</v>
      </c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</row>
    <row r="10" spans="2:18" ht="15" customHeight="1" x14ac:dyDescent="0.25">
      <c r="B10" s="23" t="s">
        <v>34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</row>
    <row r="11" spans="2:18" ht="15" customHeight="1" x14ac:dyDescent="0.25">
      <c r="B11" s="23" t="s">
        <v>14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</row>
    <row r="12" spans="2:18" ht="15" customHeight="1" x14ac:dyDescent="0.25">
      <c r="B12" s="23" t="s">
        <v>35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</row>
    <row r="13" spans="2:18" ht="15" customHeight="1" x14ac:dyDescent="0.25">
      <c r="B13" s="23" t="s">
        <v>15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</row>
    <row r="14" spans="2:18" ht="15" customHeight="1" x14ac:dyDescent="0.25">
      <c r="B14" s="23" t="s">
        <v>16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</row>
    <row r="15" spans="2:18" ht="15" customHeight="1" x14ac:dyDescent="0.25">
      <c r="B15" s="23" t="s">
        <v>17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</row>
    <row r="16" spans="2:18" ht="15" customHeight="1" x14ac:dyDescent="0.25">
      <c r="B16" s="23" t="s">
        <v>12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</row>
    <row r="17" spans="2:18" ht="15" customHeight="1" x14ac:dyDescent="0.25">
      <c r="B17" s="23" t="s">
        <v>126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</row>
    <row r="18" spans="2:18" ht="15" customHeight="1" x14ac:dyDescent="0.25">
      <c r="B18" s="2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</row>
    <row r="19" spans="2:18" ht="15" customHeight="1" x14ac:dyDescent="0.25">
      <c r="B19" s="14" t="s">
        <v>33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</row>
    <row r="20" spans="2:18" ht="15" customHeight="1" x14ac:dyDescent="0.25">
      <c r="B20" s="23" t="s">
        <v>9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</row>
    <row r="21" spans="2:18" ht="15" customHeight="1" x14ac:dyDescent="0.25">
      <c r="B21" s="23" t="s">
        <v>34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</row>
    <row r="22" spans="2:18" ht="15" customHeight="1" x14ac:dyDescent="0.25">
      <c r="B22" s="23" t="s">
        <v>14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</row>
    <row r="23" spans="2:18" ht="15" customHeight="1" x14ac:dyDescent="0.25">
      <c r="B23" s="23" t="s">
        <v>35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</row>
    <row r="24" spans="2:18" ht="15" customHeight="1" x14ac:dyDescent="0.25">
      <c r="B24" s="23" t="s">
        <v>15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</row>
    <row r="25" spans="2:18" ht="15" customHeight="1" x14ac:dyDescent="0.25">
      <c r="B25" s="23" t="s">
        <v>16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</row>
    <row r="26" spans="2:18" ht="15" customHeight="1" x14ac:dyDescent="0.25">
      <c r="B26" s="23" t="s">
        <v>17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</row>
    <row r="27" spans="2:18" ht="15" customHeight="1" x14ac:dyDescent="0.25">
      <c r="B27" s="23" t="s">
        <v>12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</row>
    <row r="28" spans="2:18" ht="15" customHeight="1" x14ac:dyDescent="0.25">
      <c r="B28" s="109" t="s">
        <v>126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</row>
    <row r="29" spans="2:18" ht="15" customHeight="1" x14ac:dyDescent="0.25">
      <c r="B29" s="17" t="s">
        <v>111</v>
      </c>
      <c r="C29" s="11"/>
      <c r="D29" s="11"/>
      <c r="E29" s="11"/>
    </row>
    <row r="30" spans="2:18" ht="15" customHeight="1" x14ac:dyDescent="0.25">
      <c r="B30" s="17" t="s">
        <v>66</v>
      </c>
      <c r="C30" s="11"/>
      <c r="D30" s="11"/>
      <c r="E30" s="11"/>
    </row>
    <row r="31" spans="2:18" ht="15" customHeight="1" x14ac:dyDescent="0.25">
      <c r="B31" s="17" t="s">
        <v>129</v>
      </c>
    </row>
    <row r="32" spans="2:18" ht="15" customHeight="1" x14ac:dyDescent="0.25">
      <c r="B32" s="17" t="s">
        <v>130</v>
      </c>
    </row>
    <row r="33" spans="2:2" ht="15" customHeight="1" x14ac:dyDescent="0.25">
      <c r="B33" s="17"/>
    </row>
  </sheetData>
  <sheetProtection algorithmName="SHA-512" hashValue="AEwv6xQyGltx1UkNqTq/aNNUKwLHFnMdrq2qWpBUHS266cdzTNo+v47p9VD+2Nik3/wXd9LcLZ+qzCIlIxrVdQ==" saltValue="p4jMzPLKRrp2y8ZHrCeFEA==" spinCount="100000" sheet="1" objects="1" scenarios="1"/>
  <mergeCells count="16">
    <mergeCell ref="C4:C5"/>
    <mergeCell ref="E4:E5"/>
    <mergeCell ref="D4:D5"/>
    <mergeCell ref="F4:F5"/>
    <mergeCell ref="K4:K5"/>
    <mergeCell ref="J4:J5"/>
    <mergeCell ref="N4:N5"/>
    <mergeCell ref="M4:M5"/>
    <mergeCell ref="I4:I5"/>
    <mergeCell ref="H4:H5"/>
    <mergeCell ref="G4:G5"/>
    <mergeCell ref="Q4:Q5"/>
    <mergeCell ref="R4:R5"/>
    <mergeCell ref="P4:P5"/>
    <mergeCell ref="L4:L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R34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W1" activeCellId="2" sqref="C1:C1048576 G1:I1048576 W1:X1048576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21" width="10.7109375" style="1" customWidth="1"/>
    <col min="22" max="16384" width="9.140625" style="1"/>
  </cols>
  <sheetData>
    <row r="3" spans="2:18" ht="15" customHeight="1" x14ac:dyDescent="0.25">
      <c r="B3" s="19" t="s">
        <v>67</v>
      </c>
    </row>
    <row r="4" spans="2:18" ht="15" customHeight="1" x14ac:dyDescent="0.25">
      <c r="B4" s="11"/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</row>
    <row r="5" spans="2:18" ht="15" customHeight="1" x14ac:dyDescent="0.25">
      <c r="B5" s="11"/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ht="15" customHeight="1" x14ac:dyDescent="0.25">
      <c r="B6" s="11"/>
      <c r="C6" s="77"/>
      <c r="D6" s="77"/>
      <c r="E6" s="77"/>
    </row>
    <row r="7" spans="2:18" ht="15" customHeight="1" x14ac:dyDescent="0.25">
      <c r="B7" s="13" t="s">
        <v>93</v>
      </c>
      <c r="C7" s="38">
        <f>C8+C19</f>
        <v>2787.36</v>
      </c>
      <c r="D7" s="38">
        <f t="shared" ref="D7:E7" si="0">D8+D19</f>
        <v>1373.18</v>
      </c>
      <c r="E7" s="38">
        <f t="shared" si="0"/>
        <v>8743.6139999999996</v>
      </c>
      <c r="F7" s="38">
        <f>F8+F19</f>
        <v>0</v>
      </c>
      <c r="G7" s="38">
        <f>G8+G19</f>
        <v>350</v>
      </c>
      <c r="H7" s="38">
        <v>0</v>
      </c>
      <c r="I7" s="38">
        <v>0</v>
      </c>
      <c r="J7" s="38">
        <f t="shared" ref="J7:R7" si="1">J8+J19</f>
        <v>1973.335</v>
      </c>
      <c r="K7" s="38">
        <f t="shared" si="1"/>
        <v>0</v>
      </c>
      <c r="L7" s="38">
        <f t="shared" si="1"/>
        <v>0</v>
      </c>
      <c r="M7" s="38">
        <f t="shared" si="1"/>
        <v>700</v>
      </c>
      <c r="N7" s="38">
        <f t="shared" si="1"/>
        <v>680</v>
      </c>
      <c r="O7" s="38">
        <f>O8+O19</f>
        <v>5040.2790000000005</v>
      </c>
      <c r="P7" s="38">
        <f t="shared" si="1"/>
        <v>320</v>
      </c>
      <c r="Q7" s="38">
        <f t="shared" si="1"/>
        <v>0</v>
      </c>
      <c r="R7" s="38">
        <f t="shared" si="1"/>
        <v>0</v>
      </c>
    </row>
    <row r="8" spans="2:18" ht="15" customHeight="1" x14ac:dyDescent="0.25">
      <c r="B8" s="14" t="s">
        <v>4</v>
      </c>
      <c r="C8" s="37">
        <f>SUM(C9:C16)</f>
        <v>960.47</v>
      </c>
      <c r="D8" s="37">
        <f t="shared" ref="D8:M8" si="2">SUM(D9:D16)</f>
        <v>0</v>
      </c>
      <c r="E8" s="37">
        <f t="shared" si="2"/>
        <v>0</v>
      </c>
      <c r="F8" s="37">
        <f t="shared" si="2"/>
        <v>0</v>
      </c>
      <c r="G8" s="37">
        <f t="shared" si="2"/>
        <v>0</v>
      </c>
      <c r="H8" s="37">
        <f t="shared" si="2"/>
        <v>0</v>
      </c>
      <c r="I8" s="37">
        <f t="shared" si="2"/>
        <v>0</v>
      </c>
      <c r="J8" s="37">
        <f t="shared" si="2"/>
        <v>0</v>
      </c>
      <c r="K8" s="37">
        <f t="shared" si="2"/>
        <v>0</v>
      </c>
      <c r="L8" s="37">
        <f t="shared" si="2"/>
        <v>0</v>
      </c>
      <c r="M8" s="37">
        <f t="shared" si="2"/>
        <v>0</v>
      </c>
      <c r="N8" s="37">
        <f>SUM(N9:N16)</f>
        <v>0</v>
      </c>
      <c r="O8" s="37">
        <f t="shared" ref="O8:R8" si="3">SUM(O9:O17)</f>
        <v>0</v>
      </c>
      <c r="P8" s="37">
        <f t="shared" si="3"/>
        <v>0</v>
      </c>
      <c r="Q8" s="37">
        <f t="shared" si="3"/>
        <v>0</v>
      </c>
      <c r="R8" s="37">
        <f t="shared" si="3"/>
        <v>0</v>
      </c>
    </row>
    <row r="9" spans="2:18" ht="15" customHeight="1" x14ac:dyDescent="0.25">
      <c r="B9" s="23" t="s">
        <v>9</v>
      </c>
      <c r="C9" s="36">
        <v>70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23" t="s">
        <v>34</v>
      </c>
      <c r="C10" s="36">
        <v>49.17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</row>
    <row r="11" spans="2:18" ht="15" customHeight="1" x14ac:dyDescent="0.25">
      <c r="B11" s="23" t="s">
        <v>14</v>
      </c>
      <c r="C11" s="36">
        <v>60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23" t="s">
        <v>35</v>
      </c>
      <c r="C12" s="36">
        <v>17.09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8" ht="15" customHeight="1" x14ac:dyDescent="0.25">
      <c r="B13" s="23" t="s">
        <v>15</v>
      </c>
      <c r="C13" s="36">
        <v>88.34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</row>
    <row r="14" spans="2:18" ht="15" customHeight="1" x14ac:dyDescent="0.25">
      <c r="B14" s="23" t="s">
        <v>16</v>
      </c>
      <c r="C14" s="36">
        <v>168.51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</row>
    <row r="15" spans="2:18" ht="15" customHeight="1" x14ac:dyDescent="0.25">
      <c r="B15" s="23" t="s">
        <v>17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23" t="s">
        <v>12</v>
      </c>
      <c r="C16" s="36">
        <v>507.36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23" t="s">
        <v>125</v>
      </c>
      <c r="C17" s="110" t="s">
        <v>127</v>
      </c>
      <c r="D17" s="110" t="s">
        <v>127</v>
      </c>
      <c r="E17" s="110" t="s">
        <v>127</v>
      </c>
      <c r="F17" s="110" t="s">
        <v>127</v>
      </c>
      <c r="G17" s="110" t="s">
        <v>127</v>
      </c>
      <c r="H17" s="110" t="s">
        <v>127</v>
      </c>
      <c r="I17" s="110" t="s">
        <v>127</v>
      </c>
      <c r="J17" s="110" t="s">
        <v>127</v>
      </c>
      <c r="K17" s="110" t="s">
        <v>127</v>
      </c>
      <c r="L17" s="110" t="s">
        <v>127</v>
      </c>
      <c r="M17" s="110" t="s">
        <v>127</v>
      </c>
      <c r="N17" s="110" t="s">
        <v>127</v>
      </c>
      <c r="O17" s="110">
        <v>0</v>
      </c>
      <c r="P17" s="110">
        <v>0</v>
      </c>
      <c r="Q17" s="110">
        <v>0</v>
      </c>
      <c r="R17" s="110">
        <v>0</v>
      </c>
    </row>
    <row r="18" spans="2:18" ht="15" customHeight="1" x14ac:dyDescent="0.25">
      <c r="B18" s="25"/>
      <c r="C18" s="36"/>
      <c r="D18" s="36">
        <v>0</v>
      </c>
      <c r="E18" s="36"/>
    </row>
    <row r="19" spans="2:18" ht="15" customHeight="1" x14ac:dyDescent="0.25">
      <c r="B19" s="14" t="s">
        <v>33</v>
      </c>
      <c r="C19" s="37">
        <f t="shared" ref="C19:G19" si="4">SUM(C20:C27)</f>
        <v>1826.89</v>
      </c>
      <c r="D19" s="37">
        <f t="shared" si="4"/>
        <v>1373.18</v>
      </c>
      <c r="E19" s="37">
        <v>8743.6139999999996</v>
      </c>
      <c r="F19" s="37">
        <f t="shared" si="4"/>
        <v>0</v>
      </c>
      <c r="G19" s="37">
        <f t="shared" si="4"/>
        <v>350</v>
      </c>
      <c r="H19" s="37">
        <v>0</v>
      </c>
      <c r="I19" s="37">
        <v>0</v>
      </c>
      <c r="J19" s="37">
        <f>SUM(J20:J27)</f>
        <v>1973.335</v>
      </c>
      <c r="K19" s="37">
        <f>SUM(K20:K27)</f>
        <v>0</v>
      </c>
      <c r="L19" s="37">
        <f>SUM(L20:L27)</f>
        <v>0</v>
      </c>
      <c r="M19" s="37">
        <f>SUM(M20:M27)</f>
        <v>700</v>
      </c>
      <c r="N19" s="37">
        <f>SUM(N20:N27)</f>
        <v>680</v>
      </c>
      <c r="O19" s="37">
        <f>SUM(O20:O28)</f>
        <v>5040.2790000000005</v>
      </c>
      <c r="P19" s="37">
        <f>SUM(P20:P28)</f>
        <v>320</v>
      </c>
      <c r="Q19" s="37">
        <f t="shared" ref="Q19:R19" si="5">SUM(Q20:Q28)</f>
        <v>0</v>
      </c>
      <c r="R19" s="37">
        <f t="shared" si="5"/>
        <v>0</v>
      </c>
    </row>
    <row r="20" spans="2:18" ht="15" customHeight="1" x14ac:dyDescent="0.25">
      <c r="B20" s="23" t="s">
        <v>9</v>
      </c>
      <c r="C20" s="36">
        <v>1046.9870000000001</v>
      </c>
      <c r="D20" s="36">
        <v>867.32500000000005</v>
      </c>
      <c r="E20" s="36">
        <v>6181.7690000000002</v>
      </c>
      <c r="F20" s="36">
        <v>0</v>
      </c>
      <c r="G20" s="36">
        <v>0</v>
      </c>
      <c r="H20" s="36">
        <v>0</v>
      </c>
      <c r="I20" s="36">
        <v>0</v>
      </c>
      <c r="J20" s="36">
        <v>1436.49</v>
      </c>
      <c r="K20" s="36">
        <v>0</v>
      </c>
      <c r="L20" s="36">
        <v>0</v>
      </c>
      <c r="M20" s="36">
        <v>700</v>
      </c>
      <c r="N20" s="36">
        <v>180</v>
      </c>
      <c r="O20" s="36">
        <v>3865.279</v>
      </c>
      <c r="P20" s="36">
        <v>300</v>
      </c>
      <c r="Q20" s="36">
        <v>0</v>
      </c>
      <c r="R20" s="36">
        <v>0</v>
      </c>
    </row>
    <row r="21" spans="2:18" ht="15" customHeight="1" x14ac:dyDescent="0.25">
      <c r="B21" s="23" t="s">
        <v>34</v>
      </c>
      <c r="C21" s="36">
        <v>20</v>
      </c>
      <c r="D21" s="36">
        <v>505.85500000000002</v>
      </c>
      <c r="E21" s="36">
        <v>124.5</v>
      </c>
      <c r="F21" s="36">
        <v>0</v>
      </c>
      <c r="G21" s="36">
        <v>0</v>
      </c>
      <c r="H21" s="36">
        <v>0</v>
      </c>
      <c r="I21" s="36">
        <v>0</v>
      </c>
      <c r="J21" s="36">
        <f>(12500000+49500000)/1000000</f>
        <v>62</v>
      </c>
      <c r="K21" s="36">
        <v>0</v>
      </c>
      <c r="L21" s="36">
        <v>0</v>
      </c>
      <c r="M21" s="36">
        <v>0</v>
      </c>
      <c r="N21" s="36">
        <v>0</v>
      </c>
      <c r="O21" s="36">
        <v>62.5</v>
      </c>
      <c r="P21" s="36">
        <v>20</v>
      </c>
      <c r="Q21" s="36">
        <v>0</v>
      </c>
      <c r="R21" s="36">
        <v>0</v>
      </c>
    </row>
    <row r="22" spans="2:18" ht="15" customHeight="1" x14ac:dyDescent="0.25">
      <c r="B22" s="23" t="s">
        <v>14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35</v>
      </c>
      <c r="C23" s="36">
        <v>614.90300000000002</v>
      </c>
      <c r="D23" s="36">
        <v>0</v>
      </c>
      <c r="E23" s="36">
        <v>1727.95</v>
      </c>
      <c r="F23" s="36">
        <v>0</v>
      </c>
      <c r="G23" s="36">
        <v>350</v>
      </c>
      <c r="H23" s="36">
        <v>0</v>
      </c>
      <c r="I23" s="36">
        <v>0</v>
      </c>
      <c r="J23" s="36">
        <f>(162500000+202950000)/1000000</f>
        <v>365.45</v>
      </c>
      <c r="K23" s="36">
        <v>0</v>
      </c>
      <c r="L23" s="36">
        <v>0</v>
      </c>
      <c r="M23" s="36">
        <v>0</v>
      </c>
      <c r="N23" s="36">
        <v>500</v>
      </c>
      <c r="O23" s="36">
        <v>512.5</v>
      </c>
      <c r="P23" s="36">
        <v>0</v>
      </c>
      <c r="Q23" s="36">
        <v>0</v>
      </c>
      <c r="R23" s="36">
        <v>0</v>
      </c>
    </row>
    <row r="24" spans="2:18" ht="15" customHeight="1" x14ac:dyDescent="0.25">
      <c r="B24" s="23" t="s">
        <v>15</v>
      </c>
      <c r="C24" s="36">
        <v>0</v>
      </c>
      <c r="D24" s="36">
        <v>0</v>
      </c>
      <c r="E24" s="36">
        <v>42.499000000000002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42.499000000000002</v>
      </c>
      <c r="P24" s="36">
        <v>0</v>
      </c>
      <c r="Q24" s="36">
        <v>0</v>
      </c>
      <c r="R24" s="36">
        <v>0</v>
      </c>
    </row>
    <row r="25" spans="2:18" ht="15" customHeight="1" x14ac:dyDescent="0.25">
      <c r="B25" s="23" t="s">
        <v>16</v>
      </c>
      <c r="C25" s="36">
        <v>65</v>
      </c>
      <c r="D25" s="36">
        <v>0</v>
      </c>
      <c r="E25" s="36">
        <v>314.23399999999998</v>
      </c>
      <c r="F25" s="36">
        <v>0</v>
      </c>
      <c r="G25" s="36">
        <v>0</v>
      </c>
      <c r="H25" s="36">
        <v>0</v>
      </c>
      <c r="I25" s="36">
        <v>0</v>
      </c>
      <c r="J25" s="36">
        <v>89.1</v>
      </c>
      <c r="K25" s="36">
        <v>0</v>
      </c>
      <c r="L25" s="36">
        <v>0</v>
      </c>
      <c r="M25" s="36">
        <v>0</v>
      </c>
      <c r="N25" s="36">
        <v>0</v>
      </c>
      <c r="O25" s="36">
        <v>225.13399999999999</v>
      </c>
      <c r="P25" s="36">
        <v>0</v>
      </c>
      <c r="Q25" s="36">
        <v>0</v>
      </c>
      <c r="R25" s="36">
        <v>0</v>
      </c>
    </row>
    <row r="26" spans="2:18" ht="15" customHeight="1" x14ac:dyDescent="0.25">
      <c r="B26" s="23" t="s">
        <v>17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23" t="s">
        <v>12</v>
      </c>
      <c r="C27" s="36">
        <v>80</v>
      </c>
      <c r="D27" s="36">
        <v>0</v>
      </c>
      <c r="E27" s="36">
        <v>187.26499999999999</v>
      </c>
      <c r="F27" s="36">
        <v>0</v>
      </c>
      <c r="G27" s="36">
        <v>0</v>
      </c>
      <c r="H27" s="36">
        <v>0</v>
      </c>
      <c r="I27" s="36">
        <v>0</v>
      </c>
      <c r="J27" s="36">
        <v>20.295000000000002</v>
      </c>
      <c r="K27" s="36">
        <v>0</v>
      </c>
      <c r="L27" s="36">
        <v>0</v>
      </c>
      <c r="M27" s="36">
        <v>0</v>
      </c>
      <c r="N27" s="36">
        <v>0</v>
      </c>
      <c r="O27" s="36">
        <v>166.97</v>
      </c>
      <c r="P27" s="36">
        <v>0</v>
      </c>
      <c r="Q27" s="36">
        <v>0</v>
      </c>
      <c r="R27" s="36">
        <v>0</v>
      </c>
    </row>
    <row r="28" spans="2:18" ht="15" customHeight="1" x14ac:dyDescent="0.25">
      <c r="B28" s="109" t="s">
        <v>125</v>
      </c>
      <c r="C28" s="111" t="s">
        <v>127</v>
      </c>
      <c r="D28" s="111" t="s">
        <v>127</v>
      </c>
      <c r="E28" s="111" t="s">
        <v>127</v>
      </c>
      <c r="F28" s="111" t="s">
        <v>127</v>
      </c>
      <c r="G28" s="111" t="s">
        <v>127</v>
      </c>
      <c r="H28" s="111" t="s">
        <v>127</v>
      </c>
      <c r="I28" s="111" t="s">
        <v>127</v>
      </c>
      <c r="J28" s="111" t="s">
        <v>127</v>
      </c>
      <c r="K28" s="111" t="s">
        <v>127</v>
      </c>
      <c r="L28" s="111" t="s">
        <v>127</v>
      </c>
      <c r="M28" s="111" t="s">
        <v>127</v>
      </c>
      <c r="N28" s="111" t="s">
        <v>127</v>
      </c>
      <c r="O28" s="112">
        <v>165.39699999999999</v>
      </c>
      <c r="P28" s="69">
        <v>0</v>
      </c>
      <c r="Q28" s="69">
        <v>0</v>
      </c>
      <c r="R28" s="69">
        <v>0</v>
      </c>
    </row>
    <row r="29" spans="2:18" ht="15" customHeight="1" x14ac:dyDescent="0.25">
      <c r="B29" s="17" t="s">
        <v>111</v>
      </c>
      <c r="C29" s="11"/>
      <c r="D29" s="11"/>
      <c r="E29" s="11"/>
    </row>
    <row r="30" spans="2:18" ht="15" customHeight="1" x14ac:dyDescent="0.25">
      <c r="B30" s="17" t="s">
        <v>66</v>
      </c>
      <c r="C30" s="11"/>
      <c r="D30" s="11"/>
      <c r="E30" s="11"/>
    </row>
    <row r="31" spans="2:18" ht="15" customHeight="1" x14ac:dyDescent="0.25">
      <c r="B31" s="17" t="s">
        <v>100</v>
      </c>
      <c r="C31" s="11"/>
      <c r="D31" s="11"/>
      <c r="E31" s="11"/>
    </row>
    <row r="32" spans="2:18" ht="15" customHeight="1" x14ac:dyDescent="0.25">
      <c r="B32" s="17" t="s">
        <v>131</v>
      </c>
    </row>
    <row r="33" spans="2:2" ht="15" customHeight="1" x14ac:dyDescent="0.25">
      <c r="B33" s="17" t="s">
        <v>130</v>
      </c>
    </row>
    <row r="34" spans="2:2" ht="15" customHeight="1" x14ac:dyDescent="0.25">
      <c r="B34" s="17" t="s">
        <v>128</v>
      </c>
    </row>
  </sheetData>
  <sheetProtection algorithmName="SHA-512" hashValue="P92Gy4iVF6opL8F9Y1Yttw3xT1A+Y2wqrQKVP5qAwB6iSjV3hDO4ZDy1bI+GmNjNySq5RG1K7aKT0CTLp7vudw==" saltValue="quz/1wnAfGINZZH5ns4Eew==" spinCount="100000" sheet="1" objects="1" scenarios="1"/>
  <mergeCells count="16">
    <mergeCell ref="E4:E5"/>
    <mergeCell ref="C4:C5"/>
    <mergeCell ref="D4:D5"/>
    <mergeCell ref="F4:F5"/>
    <mergeCell ref="K4:K5"/>
    <mergeCell ref="J4:J5"/>
    <mergeCell ref="N4:N5"/>
    <mergeCell ref="M4:M5"/>
    <mergeCell ref="I4:I5"/>
    <mergeCell ref="H4:H5"/>
    <mergeCell ref="G4:G5"/>
    <mergeCell ref="Q4:Q5"/>
    <mergeCell ref="R4:R5"/>
    <mergeCell ref="P4:P5"/>
    <mergeCell ref="L4:L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R75"/>
  <sheetViews>
    <sheetView zoomScaleNormal="100" workbookViewId="0">
      <pane xSplit="5" ySplit="5" topLeftCell="F9" activePane="bottomRight" state="frozen"/>
      <selection pane="topRight" activeCell="F1" sqref="F1"/>
      <selection pane="bottomLeft" activeCell="A6" sqref="A6"/>
      <selection pane="bottomRight" activeCell="S1" sqref="S1:T1048576"/>
    </sheetView>
  </sheetViews>
  <sheetFormatPr defaultRowHeight="15" customHeight="1" x14ac:dyDescent="0.25"/>
  <cols>
    <col min="1" max="1" width="3.7109375" style="1" customWidth="1"/>
    <col min="2" max="2" width="60.7109375" style="1" customWidth="1"/>
    <col min="3" max="18" width="10.7109375" style="11" customWidth="1"/>
    <col min="19" max="16384" width="9.140625" style="1"/>
  </cols>
  <sheetData>
    <row r="3" spans="2:18" ht="15" customHeight="1" x14ac:dyDescent="0.25">
      <c r="B3" s="19" t="s">
        <v>92</v>
      </c>
    </row>
    <row r="4" spans="2:18" ht="15" customHeight="1" x14ac:dyDescent="0.25">
      <c r="B4" s="11"/>
      <c r="C4" s="126">
        <v>2023</v>
      </c>
      <c r="D4" s="126">
        <v>2024</v>
      </c>
      <c r="E4" s="126">
        <v>2025</v>
      </c>
      <c r="F4" s="124">
        <v>45717</v>
      </c>
      <c r="G4" s="124">
        <v>45748</v>
      </c>
      <c r="H4" s="124">
        <v>45778</v>
      </c>
      <c r="I4" s="124">
        <v>45809</v>
      </c>
      <c r="J4" s="124">
        <v>45839</v>
      </c>
      <c r="K4" s="124">
        <v>45870</v>
      </c>
      <c r="L4" s="124">
        <v>45901</v>
      </c>
      <c r="M4" s="124">
        <v>45931</v>
      </c>
      <c r="N4" s="124">
        <v>45962</v>
      </c>
      <c r="O4" s="124">
        <v>45992</v>
      </c>
      <c r="P4" s="124">
        <v>46023</v>
      </c>
      <c r="Q4" s="124">
        <v>46054</v>
      </c>
      <c r="R4" s="124">
        <v>46082</v>
      </c>
    </row>
    <row r="5" spans="2:18" ht="15" customHeight="1" x14ac:dyDescent="0.25">
      <c r="B5" s="11"/>
      <c r="C5" s="127"/>
      <c r="D5" s="127"/>
      <c r="E5" s="127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ht="15" customHeight="1" x14ac:dyDescent="0.25">
      <c r="B6" s="11"/>
      <c r="C6" s="93"/>
      <c r="D6" s="93"/>
      <c r="E6" s="93"/>
    </row>
    <row r="7" spans="2:18" s="78" customFormat="1" ht="15" customHeight="1" x14ac:dyDescent="0.25">
      <c r="B7" s="22" t="s">
        <v>120</v>
      </c>
      <c r="C7" s="37">
        <f t="shared" ref="C7:R7" si="0">C8</f>
        <v>0</v>
      </c>
      <c r="D7" s="38">
        <v>1502.94552</v>
      </c>
      <c r="E7" s="38">
        <v>0</v>
      </c>
      <c r="F7" s="37">
        <f t="shared" si="0"/>
        <v>0</v>
      </c>
      <c r="G7" s="37">
        <f t="shared" si="0"/>
        <v>0</v>
      </c>
      <c r="H7" s="37">
        <f t="shared" si="0"/>
        <v>0</v>
      </c>
      <c r="I7" s="37">
        <f t="shared" si="0"/>
        <v>0</v>
      </c>
      <c r="J7" s="37">
        <f t="shared" si="0"/>
        <v>0</v>
      </c>
      <c r="K7" s="37">
        <f t="shared" si="0"/>
        <v>0</v>
      </c>
      <c r="L7" s="37">
        <f t="shared" si="0"/>
        <v>0</v>
      </c>
      <c r="M7" s="37">
        <f t="shared" si="0"/>
        <v>0</v>
      </c>
      <c r="N7" s="37">
        <f t="shared" si="0"/>
        <v>0</v>
      </c>
      <c r="O7" s="37">
        <f>O8</f>
        <v>0</v>
      </c>
      <c r="P7" s="37">
        <f t="shared" si="0"/>
        <v>0</v>
      </c>
      <c r="Q7" s="37">
        <f>Q8</f>
        <v>0</v>
      </c>
      <c r="R7" s="37">
        <f t="shared" si="0"/>
        <v>0</v>
      </c>
    </row>
    <row r="8" spans="2:18" s="79" customFormat="1" ht="15" customHeight="1" x14ac:dyDescent="0.25">
      <c r="B8" s="14" t="s">
        <v>5</v>
      </c>
      <c r="C8" s="37">
        <f t="shared" ref="C8:P8" si="1">SUM(C9:C17)</f>
        <v>0</v>
      </c>
      <c r="D8" s="37">
        <f t="shared" si="1"/>
        <v>1502.94552</v>
      </c>
      <c r="E8" s="37">
        <f t="shared" si="1"/>
        <v>0</v>
      </c>
      <c r="F8" s="37">
        <f t="shared" si="1"/>
        <v>0</v>
      </c>
      <c r="G8" s="37">
        <f t="shared" si="1"/>
        <v>0</v>
      </c>
      <c r="H8" s="37">
        <f t="shared" si="1"/>
        <v>0</v>
      </c>
      <c r="I8" s="37">
        <f t="shared" si="1"/>
        <v>0</v>
      </c>
      <c r="J8" s="37">
        <f t="shared" si="1"/>
        <v>0</v>
      </c>
      <c r="K8" s="37">
        <f t="shared" si="1"/>
        <v>0</v>
      </c>
      <c r="L8" s="37">
        <f t="shared" si="1"/>
        <v>0</v>
      </c>
      <c r="M8" s="37">
        <f t="shared" si="1"/>
        <v>0</v>
      </c>
      <c r="N8" s="37">
        <f t="shared" si="1"/>
        <v>0</v>
      </c>
      <c r="O8" s="37">
        <f>SUM(O9:O17)</f>
        <v>0</v>
      </c>
      <c r="P8" s="37">
        <f t="shared" si="1"/>
        <v>0</v>
      </c>
      <c r="Q8" s="37">
        <f>SUM(Q9:Q17)</f>
        <v>0</v>
      </c>
      <c r="R8" s="37">
        <f t="shared" ref="R8" si="2">SUM(R9:R17)</f>
        <v>0</v>
      </c>
    </row>
    <row r="9" spans="2:18" ht="15" customHeight="1" x14ac:dyDescent="0.25">
      <c r="B9" s="23" t="s">
        <v>9</v>
      </c>
      <c r="C9" s="36">
        <v>0</v>
      </c>
      <c r="D9" s="36">
        <v>283.96391999999997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23" t="s">
        <v>34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</row>
    <row r="11" spans="2:18" ht="15" customHeight="1" x14ac:dyDescent="0.25">
      <c r="B11" s="23" t="s">
        <v>14</v>
      </c>
      <c r="C11" s="36">
        <v>0</v>
      </c>
      <c r="D11" s="36">
        <v>11.942159999999999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23" t="s">
        <v>35</v>
      </c>
      <c r="C12" s="36">
        <v>0</v>
      </c>
      <c r="D12" s="36">
        <v>10.199999999999999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8" ht="15" customHeight="1" x14ac:dyDescent="0.25">
      <c r="B13" s="23" t="s">
        <v>15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</row>
    <row r="14" spans="2:18" ht="15" customHeight="1" x14ac:dyDescent="0.25">
      <c r="B14" s="23" t="s">
        <v>16</v>
      </c>
      <c r="C14" s="36">
        <v>0</v>
      </c>
      <c r="D14" s="36">
        <v>205.56672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</row>
    <row r="15" spans="2:18" ht="15" customHeight="1" x14ac:dyDescent="0.25">
      <c r="B15" s="23" t="s">
        <v>17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23" t="s">
        <v>12</v>
      </c>
      <c r="C16" s="36">
        <v>0</v>
      </c>
      <c r="D16" s="36">
        <v>991.27272000000005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23" t="s">
        <v>126</v>
      </c>
      <c r="C17" s="110" t="s">
        <v>127</v>
      </c>
      <c r="D17" s="110" t="s">
        <v>127</v>
      </c>
      <c r="E17" s="110" t="s">
        <v>127</v>
      </c>
      <c r="F17" s="110" t="s">
        <v>127</v>
      </c>
      <c r="G17" s="110" t="s">
        <v>127</v>
      </c>
      <c r="H17" s="110" t="s">
        <v>127</v>
      </c>
      <c r="I17" s="110" t="s">
        <v>127</v>
      </c>
      <c r="J17" s="110" t="s">
        <v>127</v>
      </c>
      <c r="K17" s="110" t="s">
        <v>127</v>
      </c>
      <c r="L17" s="110" t="s">
        <v>127</v>
      </c>
      <c r="M17" s="110" t="s">
        <v>127</v>
      </c>
      <c r="N17" s="110" t="s">
        <v>127</v>
      </c>
      <c r="O17" s="36">
        <v>0</v>
      </c>
      <c r="P17" s="36">
        <v>0</v>
      </c>
      <c r="Q17" s="36">
        <v>0</v>
      </c>
      <c r="R17" s="36">
        <v>0</v>
      </c>
    </row>
    <row r="18" spans="2:18" ht="15" customHeight="1" x14ac:dyDescent="0.25">
      <c r="B18" s="11"/>
      <c r="C18" s="94"/>
      <c r="D18" s="94"/>
      <c r="E18" s="94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</row>
    <row r="19" spans="2:18" s="78" customFormat="1" ht="15" customHeight="1" x14ac:dyDescent="0.25">
      <c r="B19" s="22" t="s">
        <v>118</v>
      </c>
      <c r="C19" s="38">
        <f>C20+C30+C40+C50</f>
        <v>92.31696500000001</v>
      </c>
      <c r="D19" s="38">
        <v>1392.429607</v>
      </c>
      <c r="E19" s="38">
        <v>110.64545</v>
      </c>
      <c r="F19" s="38">
        <f t="shared" ref="F19:R19" si="3">F20+F30+F40+F50</f>
        <v>4.37568</v>
      </c>
      <c r="G19" s="38">
        <f t="shared" si="3"/>
        <v>10.301030000000001</v>
      </c>
      <c r="H19" s="38">
        <f t="shared" si="3"/>
        <v>6.0661500000000004</v>
      </c>
      <c r="I19" s="38">
        <f t="shared" si="3"/>
        <v>7.9412399999999996</v>
      </c>
      <c r="J19" s="38">
        <f t="shared" si="3"/>
        <v>26.109245000000001</v>
      </c>
      <c r="K19" s="38">
        <f t="shared" si="3"/>
        <v>12.512040000000001</v>
      </c>
      <c r="L19" s="38">
        <f t="shared" si="3"/>
        <v>9.0129000000000001</v>
      </c>
      <c r="M19" s="38">
        <f t="shared" si="3"/>
        <v>5.4950999999999999</v>
      </c>
      <c r="N19" s="38">
        <f t="shared" si="3"/>
        <v>2.8076300000000001</v>
      </c>
      <c r="O19" s="38">
        <f t="shared" si="3"/>
        <v>13.294874999999999</v>
      </c>
      <c r="P19" s="38">
        <f t="shared" si="3"/>
        <v>35.647295</v>
      </c>
      <c r="Q19" s="38">
        <f t="shared" si="3"/>
        <v>35.489215000000002</v>
      </c>
      <c r="R19" s="38">
        <f t="shared" si="3"/>
        <v>4.9938900000000004</v>
      </c>
    </row>
    <row r="20" spans="2:18" s="79" customFormat="1" ht="15" customHeight="1" x14ac:dyDescent="0.25">
      <c r="B20" s="14" t="s">
        <v>5</v>
      </c>
      <c r="C20" s="37">
        <f t="shared" ref="C20:P20" si="4">SUM(C21:C29)</f>
        <v>72.835675000000009</v>
      </c>
      <c r="D20" s="37">
        <f>SUM(D21:D29)</f>
        <v>146.62500700000001</v>
      </c>
      <c r="E20" s="37">
        <f t="shared" si="4"/>
        <v>101.73775000000001</v>
      </c>
      <c r="F20" s="37">
        <f t="shared" si="4"/>
        <v>3.8706800000000001</v>
      </c>
      <c r="G20" s="37">
        <f t="shared" si="4"/>
        <v>5.3621299999999996</v>
      </c>
      <c r="H20" s="37">
        <f t="shared" si="4"/>
        <v>6.0661500000000004</v>
      </c>
      <c r="I20" s="37">
        <f t="shared" si="4"/>
        <v>6.4412399999999996</v>
      </c>
      <c r="J20" s="37">
        <f t="shared" si="4"/>
        <v>26.109245000000001</v>
      </c>
      <c r="K20" s="37">
        <f t="shared" si="4"/>
        <v>11.053240000000001</v>
      </c>
      <c r="L20" s="37">
        <f t="shared" si="4"/>
        <v>9.0129000000000001</v>
      </c>
      <c r="M20" s="37">
        <f t="shared" si="4"/>
        <v>5.4950999999999999</v>
      </c>
      <c r="N20" s="37">
        <f>SUM(N21:N29)</f>
        <v>2.8076300000000001</v>
      </c>
      <c r="O20" s="37">
        <f t="shared" si="4"/>
        <v>13.294874999999999</v>
      </c>
      <c r="P20" s="37">
        <f t="shared" si="4"/>
        <v>35.647295</v>
      </c>
      <c r="Q20" s="37">
        <f>SUM(Q21:Q29)</f>
        <v>35.489215000000002</v>
      </c>
      <c r="R20" s="37">
        <f t="shared" ref="R20" si="5">SUM(R21:R29)</f>
        <v>4.9938900000000004</v>
      </c>
    </row>
    <row r="21" spans="2:18" ht="15" customHeight="1" x14ac:dyDescent="0.25">
      <c r="B21" s="23" t="s">
        <v>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18" ht="15" customHeight="1" x14ac:dyDescent="0.25">
      <c r="B22" s="23" t="s">
        <v>34</v>
      </c>
      <c r="C22" s="36">
        <v>1.1655</v>
      </c>
      <c r="D22" s="36">
        <v>7.1827800000000002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14</v>
      </c>
      <c r="C23" s="36">
        <v>3.3317700000000001</v>
      </c>
      <c r="D23" s="36">
        <v>0.6532</v>
      </c>
      <c r="E23" s="36">
        <v>2.58188</v>
      </c>
      <c r="F23" s="36">
        <v>0</v>
      </c>
      <c r="G23" s="36">
        <v>0.92700000000000005</v>
      </c>
      <c r="H23" s="36">
        <v>0</v>
      </c>
      <c r="I23" s="36">
        <v>0.90439999999999998</v>
      </c>
      <c r="J23" s="36">
        <v>0</v>
      </c>
      <c r="K23" s="36">
        <v>0</v>
      </c>
      <c r="L23" s="36">
        <v>0</v>
      </c>
      <c r="M23" s="36">
        <v>0</v>
      </c>
      <c r="N23" s="36">
        <v>0.75048000000000004</v>
      </c>
      <c r="O23" s="36">
        <v>0</v>
      </c>
      <c r="P23" s="36">
        <v>0</v>
      </c>
      <c r="Q23" s="36">
        <v>1.1448050000000001</v>
      </c>
      <c r="R23" s="36">
        <v>0</v>
      </c>
    </row>
    <row r="24" spans="2:18" ht="15" customHeight="1" x14ac:dyDescent="0.25">
      <c r="B24" s="23" t="s">
        <v>35</v>
      </c>
      <c r="C24" s="36">
        <v>0</v>
      </c>
      <c r="D24" s="36">
        <v>0</v>
      </c>
      <c r="E24" s="36"/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</row>
    <row r="25" spans="2:18" ht="15" customHeight="1" x14ac:dyDescent="0.25">
      <c r="B25" s="23" t="s">
        <v>15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</row>
    <row r="26" spans="2:18" ht="15" customHeight="1" x14ac:dyDescent="0.25">
      <c r="B26" s="23" t="s">
        <v>16</v>
      </c>
      <c r="C26" s="36">
        <v>33.029240000000001</v>
      </c>
      <c r="D26" s="36">
        <v>9.2963240000000003</v>
      </c>
      <c r="E26" s="36">
        <v>17.35595</v>
      </c>
      <c r="F26" s="36">
        <v>0</v>
      </c>
      <c r="G26" s="36">
        <v>0.83082999999999996</v>
      </c>
      <c r="H26" s="36">
        <v>0</v>
      </c>
      <c r="I26" s="36">
        <v>0</v>
      </c>
      <c r="J26" s="36">
        <v>14.1976</v>
      </c>
      <c r="K26" s="36">
        <v>0</v>
      </c>
      <c r="L26" s="36">
        <v>2.1240000000000001</v>
      </c>
      <c r="M26" s="36">
        <v>0</v>
      </c>
      <c r="N26" s="36">
        <v>0.20352000000000001</v>
      </c>
      <c r="O26" s="36">
        <v>0</v>
      </c>
      <c r="P26" s="36">
        <v>0</v>
      </c>
      <c r="Q26" s="36">
        <v>21</v>
      </c>
      <c r="R26" s="36">
        <v>0</v>
      </c>
    </row>
    <row r="27" spans="2:18" ht="15" customHeight="1" x14ac:dyDescent="0.25">
      <c r="B27" s="23" t="s">
        <v>17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</row>
    <row r="28" spans="2:18" ht="15" customHeight="1" x14ac:dyDescent="0.25">
      <c r="B28" s="23" t="s">
        <v>12</v>
      </c>
      <c r="C28" s="36">
        <v>35.309165</v>
      </c>
      <c r="D28" s="36">
        <v>129.49270300000001</v>
      </c>
      <c r="E28" s="36">
        <v>81.79992</v>
      </c>
      <c r="F28" s="36">
        <v>3.8706800000000001</v>
      </c>
      <c r="G28" s="36">
        <v>3.6042999999999998</v>
      </c>
      <c r="H28" s="36">
        <v>6.0661500000000004</v>
      </c>
      <c r="I28" s="36">
        <v>5.5368399999999998</v>
      </c>
      <c r="J28" s="36">
        <v>11.911645</v>
      </c>
      <c r="K28" s="36">
        <v>11.053240000000001</v>
      </c>
      <c r="L28" s="36">
        <v>6.8888999999999996</v>
      </c>
      <c r="M28" s="36">
        <v>5.4950999999999999</v>
      </c>
      <c r="N28" s="36">
        <v>1.8536300000000001</v>
      </c>
      <c r="O28" s="36">
        <v>13.294874999999999</v>
      </c>
      <c r="P28" s="36">
        <v>35.647295</v>
      </c>
      <c r="Q28" s="36">
        <v>13.34441</v>
      </c>
      <c r="R28" s="36">
        <v>4.9938900000000004</v>
      </c>
    </row>
    <row r="29" spans="2:18" ht="15" customHeight="1" x14ac:dyDescent="0.25">
      <c r="B29" s="23" t="s">
        <v>126</v>
      </c>
      <c r="C29" s="110" t="s">
        <v>127</v>
      </c>
      <c r="D29" s="110" t="s">
        <v>127</v>
      </c>
      <c r="E29" s="110" t="s">
        <v>127</v>
      </c>
      <c r="F29" s="110" t="s">
        <v>127</v>
      </c>
      <c r="G29" s="110" t="s">
        <v>127</v>
      </c>
      <c r="H29" s="110" t="s">
        <v>127</v>
      </c>
      <c r="I29" s="110" t="s">
        <v>127</v>
      </c>
      <c r="J29" s="110" t="s">
        <v>127</v>
      </c>
      <c r="K29" s="110" t="s">
        <v>127</v>
      </c>
      <c r="L29" s="110" t="s">
        <v>127</v>
      </c>
      <c r="M29" s="110" t="s">
        <v>127</v>
      </c>
      <c r="N29" s="110" t="s">
        <v>127</v>
      </c>
      <c r="O29" s="36">
        <v>0</v>
      </c>
      <c r="P29" s="36">
        <v>0</v>
      </c>
      <c r="Q29" s="36">
        <v>0</v>
      </c>
      <c r="R29" s="36">
        <v>0</v>
      </c>
    </row>
    <row r="30" spans="2:18" s="79" customFormat="1" ht="15" customHeight="1" x14ac:dyDescent="0.25">
      <c r="B30" s="14" t="s">
        <v>26</v>
      </c>
      <c r="C30" s="37">
        <f t="shared" ref="C30:Q30" si="6">SUM(C31:C39)</f>
        <v>0</v>
      </c>
      <c r="D30" s="37">
        <f t="shared" si="6"/>
        <v>1167.2094999999999</v>
      </c>
      <c r="E30" s="37">
        <f t="shared" si="6"/>
        <v>0</v>
      </c>
      <c r="F30" s="37">
        <f t="shared" si="6"/>
        <v>0</v>
      </c>
      <c r="G30" s="37">
        <f t="shared" si="6"/>
        <v>0</v>
      </c>
      <c r="H30" s="37">
        <f t="shared" si="6"/>
        <v>0</v>
      </c>
      <c r="I30" s="37">
        <f t="shared" si="6"/>
        <v>0</v>
      </c>
      <c r="J30" s="37">
        <f t="shared" si="6"/>
        <v>0</v>
      </c>
      <c r="K30" s="37">
        <f t="shared" si="6"/>
        <v>0</v>
      </c>
      <c r="L30" s="37">
        <f t="shared" si="6"/>
        <v>0</v>
      </c>
      <c r="M30" s="37">
        <f t="shared" si="6"/>
        <v>0</v>
      </c>
      <c r="N30" s="37">
        <f t="shared" si="6"/>
        <v>0</v>
      </c>
      <c r="O30" s="37">
        <f t="shared" si="6"/>
        <v>0</v>
      </c>
      <c r="P30" s="37">
        <f t="shared" si="6"/>
        <v>0</v>
      </c>
      <c r="Q30" s="37">
        <f t="shared" si="6"/>
        <v>0</v>
      </c>
      <c r="R30" s="37">
        <f t="shared" ref="R30" si="7">SUM(R31:R39)</f>
        <v>0</v>
      </c>
    </row>
    <row r="31" spans="2:18" ht="15" customHeight="1" x14ac:dyDescent="0.25">
      <c r="B31" s="23" t="s">
        <v>9</v>
      </c>
      <c r="C31" s="36">
        <v>0</v>
      </c>
      <c r="D31" s="36">
        <v>622.43449999999996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</row>
    <row r="32" spans="2:18" ht="15" customHeight="1" x14ac:dyDescent="0.25">
      <c r="B32" s="23" t="s">
        <v>34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23" t="s">
        <v>14</v>
      </c>
      <c r="C33" s="36">
        <v>0</v>
      </c>
      <c r="D33" s="36">
        <v>544.04499999999996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23" t="s">
        <v>35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</row>
    <row r="35" spans="2:18" ht="15" customHeight="1" x14ac:dyDescent="0.25">
      <c r="B35" s="23" t="s">
        <v>15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</row>
    <row r="36" spans="2:18" ht="15" customHeight="1" x14ac:dyDescent="0.25">
      <c r="B36" s="23" t="s">
        <v>16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</row>
    <row r="37" spans="2:18" ht="15" customHeight="1" x14ac:dyDescent="0.25">
      <c r="B37" s="23" t="s">
        <v>17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</row>
    <row r="38" spans="2:18" ht="15" customHeight="1" x14ac:dyDescent="0.25">
      <c r="B38" s="23" t="s">
        <v>12</v>
      </c>
      <c r="C38" s="36">
        <v>0</v>
      </c>
      <c r="D38" s="36">
        <v>0.73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</row>
    <row r="39" spans="2:18" ht="15" customHeight="1" x14ac:dyDescent="0.25">
      <c r="B39" s="23" t="s">
        <v>126</v>
      </c>
      <c r="C39" s="110" t="s">
        <v>127</v>
      </c>
      <c r="D39" s="110" t="s">
        <v>127</v>
      </c>
      <c r="E39" s="110" t="s">
        <v>127</v>
      </c>
      <c r="F39" s="110" t="s">
        <v>127</v>
      </c>
      <c r="G39" s="110" t="s">
        <v>127</v>
      </c>
      <c r="H39" s="110" t="s">
        <v>127</v>
      </c>
      <c r="I39" s="110" t="s">
        <v>127</v>
      </c>
      <c r="J39" s="110" t="s">
        <v>127</v>
      </c>
      <c r="K39" s="110" t="s">
        <v>127</v>
      </c>
      <c r="L39" s="110" t="s">
        <v>127</v>
      </c>
      <c r="M39" s="110" t="s">
        <v>127</v>
      </c>
      <c r="N39" s="110" t="s">
        <v>127</v>
      </c>
      <c r="O39" s="36">
        <v>0</v>
      </c>
      <c r="P39" s="36">
        <v>0</v>
      </c>
      <c r="Q39" s="36">
        <v>0</v>
      </c>
      <c r="R39" s="36">
        <v>0</v>
      </c>
    </row>
    <row r="40" spans="2:18" s="79" customFormat="1" ht="15" customHeight="1" x14ac:dyDescent="0.25">
      <c r="B40" s="14" t="s">
        <v>121</v>
      </c>
      <c r="C40" s="37">
        <f t="shared" ref="C40:Q40" si="8">SUM(C41:C49)</f>
        <v>16.038</v>
      </c>
      <c r="D40" s="37">
        <f t="shared" si="8"/>
        <v>78.595100000000002</v>
      </c>
      <c r="E40" s="37">
        <f t="shared" si="8"/>
        <v>8.9077000000000002</v>
      </c>
      <c r="F40" s="37">
        <f t="shared" si="8"/>
        <v>0.505</v>
      </c>
      <c r="G40" s="37">
        <f t="shared" si="8"/>
        <v>4.9389000000000003</v>
      </c>
      <c r="H40" s="37">
        <f t="shared" si="8"/>
        <v>0</v>
      </c>
      <c r="I40" s="37">
        <f t="shared" si="8"/>
        <v>1.5</v>
      </c>
      <c r="J40" s="37">
        <f t="shared" si="8"/>
        <v>0</v>
      </c>
      <c r="K40" s="37">
        <f t="shared" si="8"/>
        <v>1.4588000000000001</v>
      </c>
      <c r="L40" s="37">
        <f t="shared" si="8"/>
        <v>0</v>
      </c>
      <c r="M40" s="37">
        <f t="shared" si="8"/>
        <v>0</v>
      </c>
      <c r="N40" s="37">
        <f t="shared" si="8"/>
        <v>0</v>
      </c>
      <c r="O40" s="37">
        <f t="shared" si="8"/>
        <v>0</v>
      </c>
      <c r="P40" s="37">
        <f t="shared" si="8"/>
        <v>0</v>
      </c>
      <c r="Q40" s="37">
        <f t="shared" si="8"/>
        <v>0</v>
      </c>
      <c r="R40" s="37">
        <f t="shared" ref="R40" si="9">SUM(R41:R49)</f>
        <v>0</v>
      </c>
    </row>
    <row r="41" spans="2:18" ht="15" customHeight="1" x14ac:dyDescent="0.25">
      <c r="B41" s="23" t="s">
        <v>9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</row>
    <row r="42" spans="2:18" ht="15" customHeight="1" x14ac:dyDescent="0.25">
      <c r="B42" s="23" t="s">
        <v>34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</row>
    <row r="43" spans="2:18" ht="15" customHeight="1" x14ac:dyDescent="0.25">
      <c r="B43" s="23" t="s">
        <v>14</v>
      </c>
      <c r="C43" s="36">
        <v>6.9980000000000002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</row>
    <row r="44" spans="2:18" ht="15" customHeight="1" x14ac:dyDescent="0.25">
      <c r="B44" s="23" t="s">
        <v>35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</row>
    <row r="45" spans="2:18" ht="15" customHeight="1" x14ac:dyDescent="0.25">
      <c r="B45" s="23" t="s">
        <v>15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</row>
    <row r="46" spans="2:18" ht="15" customHeight="1" x14ac:dyDescent="0.25">
      <c r="B46" s="23" t="s">
        <v>16</v>
      </c>
      <c r="C46" s="36">
        <v>0</v>
      </c>
      <c r="D46" s="36">
        <v>50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</row>
    <row r="47" spans="2:18" ht="15" customHeight="1" x14ac:dyDescent="0.25">
      <c r="B47" s="23" t="s">
        <v>17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</row>
    <row r="48" spans="2:18" ht="15" customHeight="1" x14ac:dyDescent="0.25">
      <c r="B48" s="23" t="s">
        <v>12</v>
      </c>
      <c r="C48" s="36">
        <v>9.0399999999999991</v>
      </c>
      <c r="D48" s="36">
        <v>28.595100000000002</v>
      </c>
      <c r="E48" s="36">
        <v>8.9077000000000002</v>
      </c>
      <c r="F48" s="36">
        <v>0.505</v>
      </c>
      <c r="G48" s="36">
        <v>4.9389000000000003</v>
      </c>
      <c r="H48" s="36">
        <v>0</v>
      </c>
      <c r="I48" s="36">
        <v>1.5</v>
      </c>
      <c r="J48" s="57">
        <v>0</v>
      </c>
      <c r="K48" s="57">
        <v>1.4588000000000001</v>
      </c>
      <c r="L48" s="57">
        <v>0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</row>
    <row r="49" spans="2:18" ht="15" customHeight="1" x14ac:dyDescent="0.25">
      <c r="B49" s="23" t="s">
        <v>126</v>
      </c>
      <c r="C49" s="110" t="s">
        <v>127</v>
      </c>
      <c r="D49" s="110" t="s">
        <v>127</v>
      </c>
      <c r="E49" s="110" t="s">
        <v>127</v>
      </c>
      <c r="F49" s="110" t="s">
        <v>127</v>
      </c>
      <c r="G49" s="110" t="s">
        <v>127</v>
      </c>
      <c r="H49" s="110" t="s">
        <v>127</v>
      </c>
      <c r="I49" s="110" t="s">
        <v>127</v>
      </c>
      <c r="J49" s="110" t="s">
        <v>127</v>
      </c>
      <c r="K49" s="110" t="s">
        <v>127</v>
      </c>
      <c r="L49" s="110" t="s">
        <v>127</v>
      </c>
      <c r="M49" s="110" t="s">
        <v>127</v>
      </c>
      <c r="N49" s="110" t="s">
        <v>127</v>
      </c>
      <c r="O49" s="36">
        <v>0</v>
      </c>
      <c r="P49" s="36">
        <v>0</v>
      </c>
      <c r="Q49" s="36">
        <v>0</v>
      </c>
      <c r="R49" s="36">
        <v>0</v>
      </c>
    </row>
    <row r="50" spans="2:18" s="79" customFormat="1" ht="15" customHeight="1" x14ac:dyDescent="0.25">
      <c r="B50" s="14" t="s">
        <v>122</v>
      </c>
      <c r="C50" s="37">
        <f>SUM(C51:C59)</f>
        <v>3.4432900000000002</v>
      </c>
      <c r="D50" s="37">
        <f t="shared" ref="D50:R50" si="10">SUM(D51:D59)</f>
        <v>0</v>
      </c>
      <c r="E50" s="37">
        <f t="shared" si="10"/>
        <v>0</v>
      </c>
      <c r="F50" s="37">
        <f t="shared" si="10"/>
        <v>0</v>
      </c>
      <c r="G50" s="37">
        <f t="shared" si="10"/>
        <v>0</v>
      </c>
      <c r="H50" s="37">
        <f t="shared" si="10"/>
        <v>0</v>
      </c>
      <c r="I50" s="37">
        <f t="shared" si="10"/>
        <v>0</v>
      </c>
      <c r="J50" s="37">
        <f t="shared" si="10"/>
        <v>0</v>
      </c>
      <c r="K50" s="37">
        <f t="shared" si="10"/>
        <v>0</v>
      </c>
      <c r="L50" s="37">
        <f t="shared" si="10"/>
        <v>0</v>
      </c>
      <c r="M50" s="37">
        <f t="shared" si="10"/>
        <v>0</v>
      </c>
      <c r="N50" s="37">
        <f t="shared" si="10"/>
        <v>0</v>
      </c>
      <c r="O50" s="37">
        <f t="shared" si="10"/>
        <v>0</v>
      </c>
      <c r="P50" s="37">
        <f t="shared" si="10"/>
        <v>0</v>
      </c>
      <c r="Q50" s="37">
        <f t="shared" ref="Q50" si="11">SUM(Q51:Q59)</f>
        <v>0</v>
      </c>
      <c r="R50" s="37">
        <f t="shared" si="10"/>
        <v>0</v>
      </c>
    </row>
    <row r="51" spans="2:18" ht="15" customHeight="1" x14ac:dyDescent="0.25">
      <c r="B51" s="23" t="s">
        <v>9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</row>
    <row r="52" spans="2:18" ht="15" customHeight="1" x14ac:dyDescent="0.25">
      <c r="B52" s="23" t="s">
        <v>34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</row>
    <row r="53" spans="2:18" ht="15" customHeight="1" x14ac:dyDescent="0.25">
      <c r="B53" s="23" t="s">
        <v>14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</row>
    <row r="54" spans="2:18" ht="15" customHeight="1" x14ac:dyDescent="0.25">
      <c r="B54" s="23" t="s">
        <v>35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</row>
    <row r="55" spans="2:18" ht="15" customHeight="1" x14ac:dyDescent="0.25">
      <c r="B55" s="23" t="s">
        <v>15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</row>
    <row r="56" spans="2:18" ht="15" customHeight="1" x14ac:dyDescent="0.25">
      <c r="B56" s="23" t="s">
        <v>16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</row>
    <row r="57" spans="2:18" ht="15" customHeight="1" x14ac:dyDescent="0.25">
      <c r="B57" s="23" t="s">
        <v>17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</row>
    <row r="58" spans="2:18" ht="15" customHeight="1" x14ac:dyDescent="0.25">
      <c r="B58" s="23" t="s">
        <v>12</v>
      </c>
      <c r="C58" s="36">
        <v>3.4432900000000002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</row>
    <row r="59" spans="2:18" ht="15" customHeight="1" x14ac:dyDescent="0.25">
      <c r="B59" s="23" t="s">
        <v>126</v>
      </c>
      <c r="C59" s="110" t="s">
        <v>127</v>
      </c>
      <c r="D59" s="110" t="s">
        <v>127</v>
      </c>
      <c r="E59" s="110" t="s">
        <v>127</v>
      </c>
      <c r="F59" s="110" t="s">
        <v>127</v>
      </c>
      <c r="G59" s="110" t="s">
        <v>127</v>
      </c>
      <c r="H59" s="110" t="s">
        <v>127</v>
      </c>
      <c r="I59" s="110" t="s">
        <v>127</v>
      </c>
      <c r="J59" s="110" t="s">
        <v>127</v>
      </c>
      <c r="K59" s="110" t="s">
        <v>127</v>
      </c>
      <c r="L59" s="110" t="s">
        <v>127</v>
      </c>
      <c r="M59" s="110" t="s">
        <v>127</v>
      </c>
      <c r="N59" s="110" t="s">
        <v>127</v>
      </c>
      <c r="O59" s="36">
        <v>0</v>
      </c>
      <c r="P59" s="36">
        <v>0</v>
      </c>
      <c r="Q59" s="36">
        <v>0</v>
      </c>
      <c r="R59" s="36">
        <v>0</v>
      </c>
    </row>
    <row r="60" spans="2:18" ht="15" customHeight="1" x14ac:dyDescent="0.25">
      <c r="B60" s="11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</row>
    <row r="61" spans="2:18" s="78" customFormat="1" ht="15" customHeight="1" x14ac:dyDescent="0.25">
      <c r="B61" s="22" t="s">
        <v>123</v>
      </c>
      <c r="C61" s="38">
        <f t="shared" ref="C61:R61" si="12">SUM(C62:C70)</f>
        <v>67.971499999999992</v>
      </c>
      <c r="D61" s="38">
        <f t="shared" si="12"/>
        <v>132.33375999999998</v>
      </c>
      <c r="E61" s="38">
        <f t="shared" si="12"/>
        <v>640.974467</v>
      </c>
      <c r="F61" s="38">
        <f t="shared" si="12"/>
        <v>0.48899999999999999</v>
      </c>
      <c r="G61" s="38">
        <f t="shared" si="12"/>
        <v>0</v>
      </c>
      <c r="H61" s="38">
        <f t="shared" si="12"/>
        <v>10.4</v>
      </c>
      <c r="I61" s="38">
        <f t="shared" si="12"/>
        <v>64.953000000000003</v>
      </c>
      <c r="J61" s="38">
        <f t="shared" si="12"/>
        <v>3.8781500000000051</v>
      </c>
      <c r="K61" s="38">
        <f t="shared" si="12"/>
        <v>6.9165000000000001</v>
      </c>
      <c r="L61" s="38">
        <f t="shared" si="12"/>
        <v>5.4705000000000004</v>
      </c>
      <c r="M61" s="38">
        <f t="shared" si="12"/>
        <v>0</v>
      </c>
      <c r="N61" s="38">
        <f>SUM(N62:N70)</f>
        <v>3.60825</v>
      </c>
      <c r="O61" s="38">
        <f t="shared" si="12"/>
        <v>118.175</v>
      </c>
      <c r="P61" s="38">
        <f t="shared" si="12"/>
        <v>9098.3474619999997</v>
      </c>
      <c r="Q61" s="38">
        <f t="shared" si="12"/>
        <v>192.00619</v>
      </c>
      <c r="R61" s="38">
        <f t="shared" si="12"/>
        <v>7.0406000000000004</v>
      </c>
    </row>
    <row r="62" spans="2:18" ht="15" customHeight="1" x14ac:dyDescent="0.25">
      <c r="B62" s="15" t="s">
        <v>9</v>
      </c>
      <c r="C62" s="36">
        <v>66.246399999999994</v>
      </c>
      <c r="D62" s="36">
        <v>65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</row>
    <row r="63" spans="2:18" ht="15" customHeight="1" x14ac:dyDescent="0.25">
      <c r="B63" s="15" t="s">
        <v>34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</row>
    <row r="64" spans="2:18" ht="15" customHeight="1" x14ac:dyDescent="0.25">
      <c r="B64" s="15" t="s">
        <v>14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1"/>
      <c r="Q64" s="1"/>
      <c r="R64" s="36">
        <v>0</v>
      </c>
    </row>
    <row r="65" spans="2:18" ht="15" customHeight="1" x14ac:dyDescent="0.25">
      <c r="B65" s="15" t="s">
        <v>35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</row>
    <row r="66" spans="2:18" ht="15" customHeight="1" x14ac:dyDescent="0.25">
      <c r="B66" s="15" t="s">
        <v>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</row>
    <row r="67" spans="2:18" ht="15" customHeight="1" x14ac:dyDescent="0.25">
      <c r="B67" s="15" t="s">
        <v>16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7.9777800000000001</v>
      </c>
      <c r="R67" s="36">
        <v>0</v>
      </c>
    </row>
    <row r="68" spans="2:18" ht="15" customHeight="1" x14ac:dyDescent="0.25">
      <c r="B68" s="15" t="s">
        <v>17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</row>
    <row r="69" spans="2:18" ht="14.25" customHeight="1" x14ac:dyDescent="0.25">
      <c r="B69" s="15" t="s">
        <v>12</v>
      </c>
      <c r="C69" s="36">
        <v>1.7251000000000001</v>
      </c>
      <c r="D69" s="36">
        <v>67.333759999999998</v>
      </c>
      <c r="E69" s="36">
        <v>217.5318</v>
      </c>
      <c r="F69" s="36">
        <v>0.48899999999999999</v>
      </c>
      <c r="G69" s="36">
        <v>0</v>
      </c>
      <c r="H69" s="36">
        <v>10.4</v>
      </c>
      <c r="I69" s="36">
        <v>64.953000000000003</v>
      </c>
      <c r="J69" s="36">
        <v>3.8781500000000051</v>
      </c>
      <c r="K69" s="36">
        <v>6.9165000000000001</v>
      </c>
      <c r="L69" s="36">
        <v>5.4705000000000004</v>
      </c>
      <c r="M69" s="36">
        <v>0</v>
      </c>
      <c r="N69" s="36">
        <v>3.60825</v>
      </c>
      <c r="O69" s="36">
        <v>118.175</v>
      </c>
      <c r="P69" s="36">
        <v>40.97175</v>
      </c>
      <c r="Q69" s="36">
        <v>184.02841000000001</v>
      </c>
      <c r="R69" s="36">
        <v>7.0406000000000004</v>
      </c>
    </row>
    <row r="70" spans="2:18" ht="14.25" customHeight="1" x14ac:dyDescent="0.25">
      <c r="B70" s="21" t="s">
        <v>126</v>
      </c>
      <c r="C70" s="112" t="s">
        <v>127</v>
      </c>
      <c r="D70" s="112" t="s">
        <v>127</v>
      </c>
      <c r="E70" s="112">
        <v>423.44266699999997</v>
      </c>
      <c r="F70" s="112" t="s">
        <v>127</v>
      </c>
      <c r="G70" s="112" t="s">
        <v>127</v>
      </c>
      <c r="H70" s="112" t="s">
        <v>127</v>
      </c>
      <c r="I70" s="112" t="s">
        <v>127</v>
      </c>
      <c r="J70" s="112" t="s">
        <v>127</v>
      </c>
      <c r="K70" s="112" t="s">
        <v>127</v>
      </c>
      <c r="L70" s="112" t="s">
        <v>127</v>
      </c>
      <c r="M70" s="112" t="s">
        <v>127</v>
      </c>
      <c r="N70" s="112" t="s">
        <v>127</v>
      </c>
      <c r="O70" s="39">
        <v>0</v>
      </c>
      <c r="P70" s="39">
        <v>9057.3757119999991</v>
      </c>
      <c r="Q70" s="39">
        <v>0</v>
      </c>
      <c r="R70" s="39">
        <v>0</v>
      </c>
    </row>
    <row r="71" spans="2:18" ht="15" customHeight="1" x14ac:dyDescent="0.25">
      <c r="B71" s="17" t="s">
        <v>111</v>
      </c>
    </row>
    <row r="72" spans="2:18" ht="15" customHeight="1" x14ac:dyDescent="0.25">
      <c r="B72" s="17" t="s">
        <v>62</v>
      </c>
      <c r="J72" s="95"/>
    </row>
    <row r="73" spans="2:18" ht="15" customHeight="1" x14ac:dyDescent="0.25">
      <c r="B73" s="17" t="s">
        <v>135</v>
      </c>
    </row>
    <row r="74" spans="2:18" ht="15" customHeight="1" x14ac:dyDescent="0.25">
      <c r="B74" s="17" t="s">
        <v>136</v>
      </c>
    </row>
    <row r="75" spans="2:18" ht="15" customHeight="1" x14ac:dyDescent="0.25">
      <c r="B75" s="17" t="s">
        <v>128</v>
      </c>
    </row>
  </sheetData>
  <sheetProtection algorithmName="SHA-512" hashValue="ECon7lS17TQQfs/XKA9i/M3/Ryh6gR8qFSo5jh4mZkGSxMCDun58DBS7bG+9gt/dzJ7QuF6T+KvM5X7HND9I8Q==" saltValue="DVS04q24Q9q8L+I1sNAM9Q==" spinCount="100000" sheet="1" objects="1" scenarios="1"/>
  <mergeCells count="16">
    <mergeCell ref="E4:E5"/>
    <mergeCell ref="C4:C5"/>
    <mergeCell ref="F4:F5"/>
    <mergeCell ref="D4:D5"/>
    <mergeCell ref="Q4:Q5"/>
    <mergeCell ref="R4:R5"/>
    <mergeCell ref="I4:I5"/>
    <mergeCell ref="H4:H5"/>
    <mergeCell ref="G4:G5"/>
    <mergeCell ref="L4:L5"/>
    <mergeCell ref="K4:K5"/>
    <mergeCell ref="P4:P5"/>
    <mergeCell ref="J4:J5"/>
    <mergeCell ref="O4:O5"/>
    <mergeCell ref="N4:N5"/>
    <mergeCell ref="M4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Capa</vt:lpstr>
      <vt:lpstr>A.1</vt:lpstr>
      <vt:lpstr>A.2</vt:lpstr>
      <vt:lpstr>A.3</vt:lpstr>
      <vt:lpstr>B.1</vt:lpstr>
      <vt:lpstr>C.1</vt:lpstr>
      <vt:lpstr>C.2</vt:lpstr>
      <vt:lpstr>C.3</vt:lpstr>
      <vt:lpstr>C.4</vt:lpstr>
      <vt:lpstr>D.1</vt:lpstr>
      <vt:lpstr>E.1</vt:lpstr>
      <vt:lpstr>NOTAS DE FORMATAÇÃO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Semedo (0365 - BCV)</dc:creator>
  <cp:lastModifiedBy>Ana Cristina Lopes Semedo</cp:lastModifiedBy>
  <dcterms:created xsi:type="dcterms:W3CDTF">2024-02-27T09:33:39Z</dcterms:created>
  <dcterms:modified xsi:type="dcterms:W3CDTF">2026-07-08T17:26:50Z</dcterms:modified>
</cp:coreProperties>
</file>